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ordingborg Fjernvarme\Projekter\ØRSLEV fjernvarme\"/>
    </mc:Choice>
  </mc:AlternateContent>
  <bookViews>
    <workbookView xWindow="0" yWindow="0" windowWidth="21570" windowHeight="9315"/>
  </bookViews>
  <sheets>
    <sheet name="Vejledende beregning" sheetId="2" r:id="rId1"/>
  </sheets>
  <calcPr calcId="162913"/>
</workbook>
</file>

<file path=xl/calcChain.xml><?xml version="1.0" encoding="utf-8"?>
<calcChain xmlns="http://schemas.openxmlformats.org/spreadsheetml/2006/main">
  <c r="D48" i="2" l="1"/>
  <c r="D7" i="2" l="1"/>
  <c r="B10" i="2" l="1"/>
  <c r="B33" i="2"/>
  <c r="D10" i="2"/>
  <c r="D36" i="2" s="1"/>
  <c r="D38" i="2" s="1"/>
  <c r="B48" i="2"/>
  <c r="I51" i="2"/>
  <c r="B51" i="2" s="1"/>
  <c r="P20" i="2"/>
  <c r="P30" i="2"/>
  <c r="P43" i="2"/>
  <c r="B38" i="2"/>
  <c r="B15" i="2"/>
  <c r="I14" i="2"/>
  <c r="I36" i="2"/>
  <c r="I49" i="2"/>
  <c r="D11" i="2"/>
  <c r="D8" i="2"/>
  <c r="D62" i="2" s="1"/>
  <c r="D9" i="2"/>
  <c r="D26" i="2" s="1"/>
  <c r="F16" i="2"/>
  <c r="K16" i="2" s="1"/>
  <c r="D24" i="2"/>
  <c r="D60" i="2"/>
  <c r="D34" i="2"/>
  <c r="D46" i="2"/>
  <c r="D49" i="2" s="1"/>
  <c r="D51" i="2" s="1"/>
  <c r="K51" i="2" s="1"/>
  <c r="I62" i="2"/>
  <c r="E60" i="2"/>
  <c r="E24" i="2" s="1"/>
  <c r="B60" i="2"/>
  <c r="B24" i="2" s="1"/>
  <c r="B37" i="2"/>
  <c r="E46" i="2"/>
  <c r="B46" i="2"/>
  <c r="B34" i="2" s="1"/>
  <c r="D14" i="2"/>
  <c r="D15" i="2" s="1"/>
  <c r="K15" i="2" s="1"/>
  <c r="K49" i="2" l="1"/>
  <c r="K53" i="2" s="1"/>
  <c r="K54" i="2" s="1"/>
  <c r="K55" i="2" s="1"/>
  <c r="K62" i="2"/>
  <c r="K64" i="2" s="1"/>
  <c r="K65" i="2" s="1"/>
  <c r="K66" i="2" s="1"/>
  <c r="K14" i="2"/>
  <c r="K18" i="2" s="1"/>
  <c r="K19" i="2" s="1"/>
  <c r="K20" i="2" s="1"/>
  <c r="S20" i="2" s="1"/>
  <c r="K38" i="2"/>
  <c r="K36" i="2"/>
  <c r="K41" i="2" l="1"/>
  <c r="K42" i="2" s="1"/>
  <c r="K43" i="2" s="1"/>
  <c r="S43" i="2" s="1"/>
  <c r="I26" i="2" l="1"/>
  <c r="K26" i="2" s="1"/>
  <c r="K28" i="2" s="1"/>
  <c r="K29" i="2" s="1"/>
  <c r="K30" i="2" s="1"/>
  <c r="S30" i="2" s="1"/>
</calcChain>
</file>

<file path=xl/comments1.xml><?xml version="1.0" encoding="utf-8"?>
<comments xmlns="http://schemas.openxmlformats.org/spreadsheetml/2006/main">
  <authors>
    <author>Eric Clarke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COP effekt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Afkøl
ing i gr. C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(dvs. forskel mellem fremløbstemp. og tilbageløbs temp.)</t>
        </r>
      </text>
    </comment>
  </commentList>
</comments>
</file>

<file path=xl/sharedStrings.xml><?xml version="1.0" encoding="utf-8"?>
<sst xmlns="http://schemas.openxmlformats.org/spreadsheetml/2006/main" count="141" uniqueCount="62">
  <si>
    <t>Sammenligningsskema for opvarmning</t>
  </si>
  <si>
    <t>[MWh]</t>
  </si>
  <si>
    <r>
      <t>[m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</si>
  <si>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t>á</t>
  </si>
  <si>
    <t>[DKK/MWh]</t>
  </si>
  <si>
    <t>[DKK]</t>
  </si>
  <si>
    <r>
      <t>[DKK/m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</si>
  <si>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</si>
  <si>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I alt (ekskl. moms)</t>
  </si>
  <si>
    <t>I alt (inkl. moms)</t>
  </si>
  <si>
    <t>Standard olieopvarmet hus</t>
  </si>
  <si>
    <t>[l]</t>
  </si>
  <si>
    <t>[DKK/l]</t>
  </si>
  <si>
    <t>Oliefyrsservice, skorstensfejning, el til brænder og pumper m.m.</t>
  </si>
  <si>
    <t xml:space="preserve">Reduktion af el-afgift for forbrug over </t>
  </si>
  <si>
    <t>Varmeforbrug standardhus</t>
  </si>
  <si>
    <t>Elforbrug til opvarmning</t>
  </si>
  <si>
    <t>[kWh]</t>
  </si>
  <si>
    <t>[øre/kWh]</t>
  </si>
  <si>
    <t>Serviceomkostninger</t>
  </si>
  <si>
    <t>år</t>
  </si>
  <si>
    <t>Standardhus</t>
  </si>
  <si>
    <r>
      <t>Areal (standard 130 [m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])</t>
    </r>
  </si>
  <si>
    <t>[DKK/l] (inkl. moms)</t>
  </si>
  <si>
    <t>Olieforbrug</t>
  </si>
  <si>
    <t>[øre/kWh] (inkl. moms)</t>
  </si>
  <si>
    <t>Gasforbrug</t>
  </si>
  <si>
    <t>Årligt rumbidrag</t>
  </si>
  <si>
    <t>1 liter olie svarer til 10 kwh</t>
  </si>
  <si>
    <t>1 m3 gas svarer til 11 kwh</t>
  </si>
  <si>
    <t>l olie</t>
  </si>
  <si>
    <t>ß</t>
  </si>
  <si>
    <t>Varmeforbrug  (standard 18,1 [MWh] - 130 m2)</t>
  </si>
  <si>
    <t>Reguler boligstørrelse her</t>
  </si>
  <si>
    <r>
      <t>[DKK/m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</si>
  <si>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r>
      <t>[m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]</t>
    </r>
  </si>
  <si>
    <t>https://www.bestilfyringsolie.dk/order-page/olietype-olietank/</t>
  </si>
  <si>
    <t>Pris fra fyringsolie-online.dk Circle K Basis (04.02.2020)</t>
  </si>
  <si>
    <t>Pris er fra SEAS-NVE, fastpris-aftale på elpris.dk (04.02.2021)</t>
  </si>
  <si>
    <t>http://gasprisguiden.dk/Home/ny_FindPrices/?inputUsage=&amp;usage=2400&amp;county=66&amp;showFixed=showFixed</t>
  </si>
  <si>
    <t>Fast pris 3år Gasprisguiden.dk (SEAS/NVE) 04.02.2021, fast pris</t>
  </si>
  <si>
    <t>Abonnementsbidrag</t>
  </si>
  <si>
    <t>https://vordingborgforsyning.dk/media/2021_Fjernvarmepriser_dec_2020_rev.1.pdf</t>
  </si>
  <si>
    <t>El-radiatorer , (1 MWh = 1000 kWh)</t>
  </si>
  <si>
    <t>Investering =</t>
  </si>
  <si>
    <t>DKK</t>
  </si>
  <si>
    <t>per år</t>
  </si>
  <si>
    <t>Afdrag+Rente =</t>
  </si>
  <si>
    <t>DKK i alt per år</t>
  </si>
  <si>
    <t>Rente ÅOP</t>
  </si>
  <si>
    <t>Standard elopvarmet hus (EL)</t>
  </si>
  <si>
    <t>Standard gasopvarmet hus (GAS)</t>
  </si>
  <si>
    <t>Standard fjernvarmeopvarmet hus (Vordingborg Fj.V)</t>
  </si>
  <si>
    <t>installation mm. inkl. moms</t>
  </si>
  <si>
    <t>https://elpris.dk/#/</t>
  </si>
  <si>
    <t>(Reguler/tast i de gule felter med blå tekst)</t>
  </si>
  <si>
    <t xml:space="preserve">Reguler varmeforbrug her indtil det passer </t>
  </si>
  <si>
    <r>
      <t xml:space="preserve">med det </t>
    </r>
    <r>
      <rPr>
        <b/>
        <u/>
        <sz val="11"/>
        <color theme="1"/>
        <rFont val="Calibri"/>
        <family val="2"/>
        <scheme val="minor"/>
      </rPr>
      <t>aktuelle forbrug</t>
    </r>
    <r>
      <rPr>
        <b/>
        <sz val="11"/>
        <color theme="1"/>
        <rFont val="Calibri"/>
        <family val="2"/>
        <scheme val="minor"/>
      </rPr>
      <t xml:space="preserve"> af gas, olie eller el.</t>
    </r>
  </si>
  <si>
    <t>(inkl. moms)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</si>
  <si>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Gas</t>
    </r>
  </si>
  <si>
    <t>kWh el</t>
  </si>
  <si>
    <t>reelle ydelse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</si>
</sst>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kr.&quot;;[Red]\-#,##0.00\ &quot;kr.&quot;"/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#,##0_ ;\-#,##0\ "/>
    <numFmt numFmtId="169" formatCode="_-* #,##0.0\ _k_r_._-;\-* #,##0.0\ _k_r_._-;_-* &quot;-&quot;?\ _k_r_._-;_-@_-"/>
    <numFmt numFmtId="170" formatCode="#,##0.0_ ;\-#,##0.0\ "/>
    <numFmt numFmtId="171" formatCode="_ * #,##0.0_ ;_ * \-#,##0.0_ ;_ * &quot;-&quot;?_ ;_ @_ "/>
    <numFmt numFmtId="172" formatCode="#,##0.00_ ;\-#,##0.00\ 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Border="1" applyProtection="1"/>
    <xf numFmtId="0" fontId="0" fillId="0" borderId="2" xfId="0" applyBorder="1" applyProtection="1"/>
    <xf numFmtId="166" fontId="0" fillId="0" borderId="3" xfId="0" applyNumberFormat="1" applyBorder="1" applyProtection="1"/>
    <xf numFmtId="0" fontId="0" fillId="0" borderId="3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6" fontId="3" fillId="0" borderId="6" xfId="0" applyNumberFormat="1" applyFont="1" applyBorder="1" applyProtection="1"/>
    <xf numFmtId="166" fontId="2" fillId="0" borderId="0" xfId="1" applyNumberFormat="1" applyFont="1" applyBorder="1" applyProtection="1"/>
    <xf numFmtId="0" fontId="0" fillId="0" borderId="0" xfId="0" applyProtection="1"/>
    <xf numFmtId="0" fontId="0" fillId="0" borderId="10" xfId="0" applyBorder="1" applyAlignment="1" applyProtection="1"/>
    <xf numFmtId="0" fontId="0" fillId="0" borderId="10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0" fontId="0" fillId="0" borderId="13" xfId="0" applyBorder="1" applyProtection="1"/>
    <xf numFmtId="165" fontId="2" fillId="0" borderId="14" xfId="1" applyNumberFormat="1" applyFont="1" applyBorder="1" applyProtection="1"/>
    <xf numFmtId="165" fontId="0" fillId="0" borderId="14" xfId="0" applyNumberFormat="1" applyBorder="1" applyProtection="1"/>
    <xf numFmtId="0" fontId="0" fillId="0" borderId="14" xfId="0" applyBorder="1" applyProtection="1"/>
    <xf numFmtId="166" fontId="2" fillId="0" borderId="14" xfId="1" applyNumberFormat="1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7" xfId="0" applyFill="1" applyBorder="1" applyProtection="1"/>
    <xf numFmtId="0" fontId="0" fillId="0" borderId="11" xfId="0" applyBorder="1" applyProtection="1"/>
    <xf numFmtId="0" fontId="0" fillId="0" borderId="13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5" fontId="0" fillId="0" borderId="10" xfId="0" applyNumberFormat="1" applyBorder="1" applyProtection="1"/>
    <xf numFmtId="166" fontId="2" fillId="0" borderId="10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7" fontId="0" fillId="0" borderId="17" xfId="0" applyNumberForma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166" fontId="2" fillId="0" borderId="17" xfId="1" applyNumberFormat="1" applyFont="1" applyFill="1" applyBorder="1" applyProtection="1"/>
    <xf numFmtId="0" fontId="0" fillId="0" borderId="16" xfId="0" applyFill="1" applyBorder="1" applyProtection="1"/>
    <xf numFmtId="166" fontId="2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2" fontId="4" fillId="0" borderId="0" xfId="0" applyNumberFormat="1" applyFont="1" applyAlignment="1" applyProtection="1">
      <alignment vertical="top" wrapText="1"/>
    </xf>
    <xf numFmtId="2" fontId="0" fillId="0" borderId="0" xfId="0" applyNumberFormat="1" applyAlignment="1" applyProtection="1">
      <alignment vertical="top" wrapText="1"/>
    </xf>
    <xf numFmtId="2" fontId="0" fillId="0" borderId="10" xfId="0" applyNumberFormat="1" applyBorder="1" applyAlignment="1" applyProtection="1"/>
    <xf numFmtId="2" fontId="0" fillId="0" borderId="3" xfId="0" applyNumberFormat="1" applyBorder="1" applyProtection="1"/>
    <xf numFmtId="2" fontId="2" fillId="0" borderId="14" xfId="1" applyNumberFormat="1" applyFont="1" applyBorder="1" applyProtection="1"/>
    <xf numFmtId="2" fontId="2" fillId="0" borderId="17" xfId="1" applyNumberFormat="1" applyFont="1" applyBorder="1" applyProtection="1"/>
    <xf numFmtId="2" fontId="0" fillId="0" borderId="17" xfId="0" applyNumberFormat="1" applyBorder="1" applyProtection="1"/>
    <xf numFmtId="2" fontId="0" fillId="0" borderId="10" xfId="0" applyNumberFormat="1" applyBorder="1" applyProtection="1"/>
    <xf numFmtId="2" fontId="0" fillId="0" borderId="21" xfId="0" applyNumberFormat="1" applyBorder="1" applyProtection="1"/>
    <xf numFmtId="2" fontId="0" fillId="0" borderId="24" xfId="0" applyNumberFormat="1" applyBorder="1" applyProtection="1"/>
    <xf numFmtId="2" fontId="0" fillId="0" borderId="0" xfId="0" applyNumberFormat="1" applyProtection="1"/>
    <xf numFmtId="2" fontId="0" fillId="0" borderId="14" xfId="0" applyNumberFormat="1" applyBorder="1" applyProtection="1"/>
    <xf numFmtId="2" fontId="0" fillId="0" borderId="0" xfId="0" applyNumberFormat="1" applyBorder="1" applyProtection="1"/>
    <xf numFmtId="2" fontId="2" fillId="0" borderId="10" xfId="1" applyNumberFormat="1" applyFont="1" applyBorder="1" applyProtection="1"/>
    <xf numFmtId="0" fontId="0" fillId="0" borderId="11" xfId="0" applyFill="1" applyBorder="1" applyAlignment="1" applyProtection="1"/>
    <xf numFmtId="0" fontId="0" fillId="0" borderId="10" xfId="0" applyFill="1" applyBorder="1" applyProtection="1"/>
    <xf numFmtId="0" fontId="0" fillId="0" borderId="10" xfId="0" applyFill="1" applyBorder="1" applyAlignment="1" applyProtection="1"/>
    <xf numFmtId="0" fontId="0" fillId="0" borderId="4" xfId="0" applyFill="1" applyBorder="1" applyProtection="1"/>
    <xf numFmtId="0" fontId="0" fillId="0" borderId="3" xfId="0" applyFill="1" applyBorder="1" applyProtection="1"/>
    <xf numFmtId="168" fontId="0" fillId="0" borderId="17" xfId="0" applyNumberFormat="1" applyBorder="1" applyProtection="1"/>
    <xf numFmtId="0" fontId="5" fillId="0" borderId="10" xfId="0" applyFont="1" applyBorder="1" applyAlignment="1" applyProtection="1"/>
    <xf numFmtId="0" fontId="0" fillId="0" borderId="1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2" fontId="0" fillId="0" borderId="0" xfId="0" applyNumberFormat="1" applyBorder="1" applyAlignment="1" applyProtection="1"/>
    <xf numFmtId="0" fontId="0" fillId="2" borderId="0" xfId="0" applyFill="1" applyAlignment="1" applyProtection="1">
      <alignment vertical="top" wrapText="1"/>
    </xf>
    <xf numFmtId="166" fontId="2" fillId="0" borderId="17" xfId="1" applyNumberFormat="1" applyFont="1" applyBorder="1" applyProtection="1"/>
    <xf numFmtId="165" fontId="2" fillId="0" borderId="10" xfId="1" applyNumberFormat="1" applyFont="1" applyBorder="1" applyProtection="1"/>
    <xf numFmtId="169" fontId="0" fillId="0" borderId="0" xfId="0" applyNumberFormat="1" applyProtection="1"/>
    <xf numFmtId="165" fontId="0" fillId="0" borderId="28" xfId="0" applyNumberFormat="1" applyBorder="1" applyProtection="1"/>
    <xf numFmtId="0" fontId="0" fillId="0" borderId="28" xfId="0" applyBorder="1" applyProtection="1"/>
    <xf numFmtId="0" fontId="7" fillId="0" borderId="0" xfId="3" applyProtection="1"/>
    <xf numFmtId="165" fontId="2" fillId="0" borderId="1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5" fontId="2" fillId="0" borderId="3" xfId="1" applyNumberFormat="1" applyFont="1" applyFill="1" applyBorder="1" applyProtection="1">
      <protection locked="0"/>
    </xf>
    <xf numFmtId="166" fontId="8" fillId="2" borderId="10" xfId="1" applyNumberFormat="1" applyFont="1" applyFill="1" applyBorder="1" applyProtection="1">
      <protection locked="0"/>
    </xf>
    <xf numFmtId="165" fontId="8" fillId="2" borderId="10" xfId="1" applyNumberFormat="1" applyFont="1" applyFill="1" applyBorder="1" applyProtection="1">
      <protection locked="0"/>
    </xf>
    <xf numFmtId="2" fontId="8" fillId="2" borderId="28" xfId="1" applyNumberFormat="1" applyFont="1" applyFill="1" applyBorder="1" applyProtection="1"/>
    <xf numFmtId="2" fontId="8" fillId="2" borderId="0" xfId="1" applyNumberFormat="1" applyFont="1" applyFill="1" applyBorder="1" applyProtection="1"/>
    <xf numFmtId="2" fontId="8" fillId="2" borderId="10" xfId="1" applyNumberFormat="1" applyFont="1" applyFill="1" applyBorder="1" applyProtection="1"/>
    <xf numFmtId="164" fontId="8" fillId="2" borderId="17" xfId="1" applyFont="1" applyFill="1" applyBorder="1" applyProtection="1">
      <protection locked="0"/>
    </xf>
    <xf numFmtId="166" fontId="8" fillId="2" borderId="17" xfId="1" applyNumberFormat="1" applyFont="1" applyFill="1" applyBorder="1" applyProtection="1">
      <protection locked="0"/>
    </xf>
    <xf numFmtId="164" fontId="8" fillId="2" borderId="0" xfId="1" applyFont="1" applyFill="1" applyBorder="1" applyProtection="1">
      <protection locked="0"/>
    </xf>
    <xf numFmtId="0" fontId="8" fillId="2" borderId="0" xfId="0" applyFont="1" applyFill="1" applyProtection="1"/>
    <xf numFmtId="2" fontId="8" fillId="2" borderId="17" xfId="1" applyNumberFormat="1" applyFont="1" applyFill="1" applyBorder="1" applyProtection="1"/>
    <xf numFmtId="166" fontId="8" fillId="2" borderId="0" xfId="1" applyNumberFormat="1" applyFont="1" applyFill="1" applyProtection="1"/>
    <xf numFmtId="10" fontId="8" fillId="2" borderId="0" xfId="2" applyNumberFormat="1" applyFont="1" applyFill="1" applyProtection="1"/>
    <xf numFmtId="166" fontId="0" fillId="0" borderId="0" xfId="0" applyNumberFormat="1" applyProtection="1"/>
    <xf numFmtId="166" fontId="9" fillId="0" borderId="0" xfId="0" applyNumberFormat="1" applyFont="1" applyProtection="1"/>
    <xf numFmtId="0" fontId="0" fillId="0" borderId="1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8" fontId="3" fillId="0" borderId="0" xfId="0" applyNumberFormat="1" applyFont="1" applyProtection="1"/>
    <xf numFmtId="164" fontId="12" fillId="3" borderId="0" xfId="1" applyFont="1" applyFill="1" applyBorder="1" applyProtection="1">
      <protection locked="0"/>
    </xf>
    <xf numFmtId="0" fontId="6" fillId="0" borderId="16" xfId="0" applyFont="1" applyBorder="1" applyAlignment="1" applyProtection="1">
      <alignment horizontal="left"/>
    </xf>
    <xf numFmtId="0" fontId="6" fillId="0" borderId="16" xfId="0" applyFont="1" applyBorder="1" applyProtection="1"/>
    <xf numFmtId="170" fontId="0" fillId="0" borderId="17" xfId="0" applyNumberFormat="1" applyBorder="1" applyProtection="1"/>
    <xf numFmtId="171" fontId="0" fillId="0" borderId="17" xfId="0" applyNumberFormat="1" applyBorder="1" applyProtection="1"/>
    <xf numFmtId="171" fontId="0" fillId="0" borderId="10" xfId="0" applyNumberFormat="1" applyBorder="1" applyProtection="1"/>
    <xf numFmtId="0" fontId="8" fillId="2" borderId="0" xfId="0" applyFont="1" applyFill="1" applyAlignment="1" applyProtection="1">
      <alignment vertical="top" wrapText="1"/>
    </xf>
    <xf numFmtId="0" fontId="3" fillId="2" borderId="10" xfId="0" applyFont="1" applyFill="1" applyBorder="1" applyAlignment="1" applyProtection="1"/>
    <xf numFmtId="2" fontId="3" fillId="2" borderId="10" xfId="0" applyNumberFormat="1" applyFont="1" applyFill="1" applyBorder="1" applyAlignment="1" applyProtection="1"/>
    <xf numFmtId="0" fontId="3" fillId="2" borderId="10" xfId="0" applyFont="1" applyFill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2" borderId="12" xfId="0" applyFont="1" applyFill="1" applyBorder="1" applyProtection="1"/>
    <xf numFmtId="0" fontId="6" fillId="0" borderId="17" xfId="0" applyFont="1" applyBorder="1" applyProtection="1"/>
    <xf numFmtId="166" fontId="0" fillId="0" borderId="17" xfId="1" applyNumberFormat="1" applyFont="1" applyBorder="1" applyAlignment="1" applyProtection="1"/>
    <xf numFmtId="166" fontId="2" fillId="0" borderId="17" xfId="1" applyNumberFormat="1" applyFont="1" applyBorder="1" applyAlignment="1" applyProtection="1"/>
    <xf numFmtId="165" fontId="0" fillId="0" borderId="17" xfId="0" applyNumberForma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166" fontId="2" fillId="0" borderId="17" xfId="1" applyNumberFormat="1" applyFont="1" applyBorder="1" applyProtection="1"/>
    <xf numFmtId="172" fontId="8" fillId="2" borderId="10" xfId="1" applyNumberFormat="1" applyFont="1" applyFill="1" applyBorder="1" applyProtection="1">
      <protection locked="0"/>
    </xf>
    <xf numFmtId="0" fontId="0" fillId="0" borderId="0" xfId="0" applyFont="1" applyFill="1" applyBorder="1" applyAlignment="1" applyProtection="1"/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82550</xdr:colOff>
      <xdr:row>0</xdr:row>
      <xdr:rowOff>0</xdr:rowOff>
    </xdr:from>
    <xdr:to>
      <xdr:col>12</xdr:col>
      <xdr:colOff>114300</xdr:colOff>
      <xdr:row>3</xdr:row>
      <xdr:rowOff>88900</xdr:rowOff>
    </xdr:to>
    <xdr:pic>
      <xdr:nvPicPr>
        <xdr:cNvPr id="2" name="Picture 1" descr="VF logo_rgb_web_lill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0"/>
          <a:ext cx="1898650" cy="755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vordingborgforsyning.dk/media/2021_Fjernvarmepriser_dec_2020_rev.1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gasprisguiden.dk/Home/ny_FindPrices/?inputUsage=&amp;usage=2400&amp;county=66&amp;showFixed=showFixed" TargetMode="External"/><Relationship Id="rId1" Type="http://schemas.openxmlformats.org/officeDocument/2006/relationships/hyperlink" Target="https://www.bestilfyringsolie.dk/order-page/olietype-olietan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pris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T102"/>
  <sheetViews>
    <sheetView tabSelected="1" workbookViewId="0">
      <selection activeCell="Q11" sqref="Q11"/>
    </sheetView>
  </sheetViews>
  <sheetFormatPr defaultColWidth="9.140625" defaultRowHeight="15" x14ac:dyDescent="0.25"/>
  <cols>
    <col min="1" max="1" width="2" style="9" customWidth="1"/>
    <col min="2" max="2" width="59.85546875" style="9" bestFit="1" customWidth="1"/>
    <col min="3" max="3" width="10.140625" style="9" customWidth="1"/>
    <col min="4" max="4" width="10.140625" style="9" bestFit="1" customWidth="1"/>
    <col min="5" max="5" width="8" style="9" bestFit="1" customWidth="1"/>
    <col min="6" max="7" width="4.85546875" style="9" bestFit="1" customWidth="1"/>
    <col min="8" max="8" width="2" style="9" bestFit="1" customWidth="1"/>
    <col min="9" max="9" width="7.42578125" style="58" bestFit="1" customWidth="1"/>
    <col min="10" max="10" width="11.5703125" style="9" bestFit="1" customWidth="1"/>
    <col min="11" max="11" width="9.140625" style="9" bestFit="1" customWidth="1"/>
    <col min="12" max="12" width="6" style="9" bestFit="1" customWidth="1"/>
    <col min="13" max="13" width="3.5703125" style="9" customWidth="1"/>
    <col min="14" max="14" width="9.140625" style="9"/>
    <col min="15" max="15" width="14.140625" style="9" customWidth="1"/>
    <col min="16" max="16" width="11.85546875" style="9" customWidth="1"/>
    <col min="17" max="17" width="9.140625" style="9"/>
    <col min="18" max="18" width="10.5703125" style="9" customWidth="1"/>
    <col min="19" max="19" width="14.85546875" style="9" customWidth="1"/>
    <col min="20" max="16384" width="9.140625" style="9"/>
  </cols>
  <sheetData>
    <row r="3" spans="2:18" ht="23.25" x14ac:dyDescent="0.25">
      <c r="B3" s="46" t="s">
        <v>0</v>
      </c>
      <c r="C3" s="46"/>
      <c r="D3" s="46"/>
      <c r="E3" s="46"/>
      <c r="F3" s="46"/>
      <c r="G3" s="46"/>
      <c r="H3" s="46"/>
      <c r="I3" s="48"/>
      <c r="J3" s="46"/>
      <c r="K3" s="46"/>
      <c r="L3" s="46"/>
      <c r="M3" s="46"/>
    </row>
    <row r="4" spans="2:18" x14ac:dyDescent="0.25">
      <c r="B4" s="109" t="s">
        <v>55</v>
      </c>
      <c r="C4" s="74"/>
      <c r="D4" s="47"/>
      <c r="E4" s="47"/>
      <c r="F4" s="47"/>
      <c r="G4" s="47"/>
      <c r="H4" s="47"/>
      <c r="I4" s="49"/>
      <c r="J4" s="47"/>
      <c r="K4" s="47"/>
      <c r="L4" s="47"/>
      <c r="M4" s="47"/>
    </row>
    <row r="5" spans="2:18" x14ac:dyDescent="0.25">
      <c r="B5" s="120" t="s">
        <v>21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</row>
    <row r="6" spans="2:18" ht="17.25" x14ac:dyDescent="0.25">
      <c r="B6" s="12" t="s">
        <v>22</v>
      </c>
      <c r="C6" s="10"/>
      <c r="D6" s="84">
        <v>130</v>
      </c>
      <c r="E6" s="11" t="s">
        <v>2</v>
      </c>
      <c r="F6" s="68" t="s">
        <v>31</v>
      </c>
      <c r="G6" s="110" t="s">
        <v>33</v>
      </c>
      <c r="H6" s="110"/>
      <c r="I6" s="111"/>
      <c r="J6" s="112"/>
      <c r="K6" s="113"/>
      <c r="L6" s="114"/>
    </row>
    <row r="7" spans="2:18" x14ac:dyDescent="0.25">
      <c r="B7" s="12" t="s">
        <v>32</v>
      </c>
      <c r="C7" s="10"/>
      <c r="D7" s="85">
        <f>+D6*0.139</f>
        <v>18.07</v>
      </c>
      <c r="E7" s="11" t="s">
        <v>1</v>
      </c>
      <c r="F7" s="68" t="s">
        <v>31</v>
      </c>
      <c r="G7" s="110" t="s">
        <v>56</v>
      </c>
      <c r="H7" s="110"/>
      <c r="I7" s="111"/>
      <c r="J7" s="112"/>
      <c r="K7" s="112"/>
      <c r="L7" s="115"/>
    </row>
    <row r="8" spans="2:18" x14ac:dyDescent="0.25">
      <c r="B8" s="62" t="s">
        <v>28</v>
      </c>
      <c r="C8" s="64"/>
      <c r="D8" s="81">
        <f>D7*100</f>
        <v>1807</v>
      </c>
      <c r="E8" s="63" t="s">
        <v>30</v>
      </c>
      <c r="F8" s="64"/>
      <c r="G8" s="110" t="s">
        <v>57</v>
      </c>
      <c r="H8" s="110"/>
      <c r="I8" s="111"/>
      <c r="J8" s="112"/>
      <c r="K8" s="112"/>
      <c r="L8" s="115"/>
    </row>
    <row r="9" spans="2:18" ht="17.25" x14ac:dyDescent="0.25">
      <c r="B9" s="62" t="s">
        <v>29</v>
      </c>
      <c r="C9" s="64"/>
      <c r="D9" s="81">
        <f>D7/11*1000</f>
        <v>1642.7272727272727</v>
      </c>
      <c r="E9" s="11" t="s">
        <v>59</v>
      </c>
      <c r="F9" s="64"/>
      <c r="G9" s="64"/>
      <c r="H9" s="10"/>
      <c r="I9" s="50"/>
      <c r="J9" s="11"/>
      <c r="K9" s="11"/>
      <c r="L9" s="13"/>
    </row>
    <row r="10" spans="2:18" x14ac:dyDescent="0.25">
      <c r="B10" s="69" t="str">
        <f>"Varmepumpe Luft til Væske m/ COP = "&amp;C10&amp;", (1MWh = 1000 kWh)"</f>
        <v>Varmepumpe Luft til Væske m/ COP = 3,15, (1MWh = 1000 kWh)</v>
      </c>
      <c r="C10" s="124">
        <v>3.15</v>
      </c>
      <c r="D10" s="82">
        <f>D7/C10*1000</f>
        <v>5736.5079365079364</v>
      </c>
      <c r="E10" s="70" t="s">
        <v>60</v>
      </c>
      <c r="F10" s="71"/>
      <c r="G10" s="125" t="s">
        <v>61</v>
      </c>
      <c r="H10" s="72"/>
      <c r="I10" s="73"/>
      <c r="J10" s="1"/>
      <c r="K10" s="1"/>
      <c r="L10" s="2"/>
    </row>
    <row r="11" spans="2:18" x14ac:dyDescent="0.25">
      <c r="B11" s="65" t="s">
        <v>43</v>
      </c>
      <c r="C11" s="66"/>
      <c r="D11" s="83">
        <f>D7*1000</f>
        <v>18070</v>
      </c>
      <c r="E11" s="66" t="s">
        <v>60</v>
      </c>
      <c r="F11" s="66"/>
      <c r="G11" s="66"/>
      <c r="H11" s="4"/>
      <c r="I11" s="51"/>
      <c r="J11" s="4"/>
      <c r="K11" s="4"/>
      <c r="L11" s="5"/>
    </row>
    <row r="13" spans="2:18" x14ac:dyDescent="0.25">
      <c r="B13" s="120" t="s">
        <v>52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2:18" x14ac:dyDescent="0.25">
      <c r="B14" s="14" t="s">
        <v>15</v>
      </c>
      <c r="C14" s="17"/>
      <c r="D14" s="15">
        <f>D7</f>
        <v>18.07</v>
      </c>
      <c r="E14" s="78" t="s">
        <v>1</v>
      </c>
      <c r="F14" s="17"/>
      <c r="G14" s="17"/>
      <c r="H14" s="79" t="s">
        <v>3</v>
      </c>
      <c r="I14" s="86">
        <f>531</f>
        <v>531</v>
      </c>
      <c r="J14" s="79" t="s">
        <v>4</v>
      </c>
      <c r="K14" s="18">
        <f>I14*D14</f>
        <v>9595.17</v>
      </c>
      <c r="L14" s="19" t="s">
        <v>5</v>
      </c>
      <c r="O14" s="80" t="s">
        <v>42</v>
      </c>
      <c r="Q14" s="77"/>
    </row>
    <row r="15" spans="2:18" ht="17.25" x14ac:dyDescent="0.25">
      <c r="B15" s="24" t="str">
        <f>"Kubikmeter Gennemstrøm v/ "&amp;C15&amp;" gr. afkøling"</f>
        <v>Kubikmeter Gennemstrøm v/ 30 gr. afkøling</v>
      </c>
      <c r="C15" s="92">
        <v>30</v>
      </c>
      <c r="D15" s="76">
        <f>+D14*860/C15</f>
        <v>518.00666666666666</v>
      </c>
      <c r="E15" s="11" t="s">
        <v>35</v>
      </c>
      <c r="F15" s="11"/>
      <c r="G15" s="11"/>
      <c r="H15" s="1" t="s">
        <v>3</v>
      </c>
      <c r="I15" s="87">
        <v>1.55</v>
      </c>
      <c r="J15" s="11" t="s">
        <v>34</v>
      </c>
      <c r="K15" s="75">
        <f>I15*D15</f>
        <v>802.91033333333337</v>
      </c>
      <c r="L15" s="22" t="s">
        <v>5</v>
      </c>
      <c r="Q15" s="77"/>
    </row>
    <row r="16" spans="2:18" ht="17.25" x14ac:dyDescent="0.25">
      <c r="B16" s="20" t="s">
        <v>27</v>
      </c>
      <c r="C16" s="21"/>
      <c r="D16" s="21"/>
      <c r="E16" s="29"/>
      <c r="F16" s="27">
        <f>D6</f>
        <v>130</v>
      </c>
      <c r="G16" s="21" t="s">
        <v>2</v>
      </c>
      <c r="H16" s="11" t="s">
        <v>3</v>
      </c>
      <c r="I16" s="88">
        <v>13.65</v>
      </c>
      <c r="J16" s="11" t="s">
        <v>6</v>
      </c>
      <c r="K16" s="44">
        <f>I16*F16</f>
        <v>1774.5</v>
      </c>
      <c r="L16" s="22" t="s">
        <v>5</v>
      </c>
      <c r="O16" s="9" t="s">
        <v>44</v>
      </c>
      <c r="P16" s="94">
        <v>10000</v>
      </c>
      <c r="Q16" s="9" t="s">
        <v>45</v>
      </c>
      <c r="R16" s="9" t="s">
        <v>53</v>
      </c>
    </row>
    <row r="17" spans="1:20" x14ac:dyDescent="0.25">
      <c r="B17" s="20" t="s">
        <v>41</v>
      </c>
      <c r="C17" s="21"/>
      <c r="D17" s="21"/>
      <c r="E17" s="21"/>
      <c r="F17" s="21"/>
      <c r="G17" s="21"/>
      <c r="H17" s="21"/>
      <c r="I17" s="54"/>
      <c r="J17" s="21"/>
      <c r="K17" s="8">
        <v>610</v>
      </c>
      <c r="L17" s="22" t="s">
        <v>5</v>
      </c>
      <c r="P17" s="94">
        <v>15</v>
      </c>
      <c r="Q17" s="9" t="s">
        <v>20</v>
      </c>
    </row>
    <row r="18" spans="1:20" x14ac:dyDescent="0.25">
      <c r="B18" s="24" t="s">
        <v>8</v>
      </c>
      <c r="C18" s="11"/>
      <c r="D18" s="11"/>
      <c r="E18" s="11"/>
      <c r="F18" s="11"/>
      <c r="G18" s="11"/>
      <c r="H18" s="11"/>
      <c r="I18" s="55"/>
      <c r="J18" s="11"/>
      <c r="K18" s="18">
        <f>SUM(K14:K17)</f>
        <v>12782.580333333333</v>
      </c>
      <c r="L18" s="13" t="s">
        <v>5</v>
      </c>
      <c r="P18" s="95">
        <v>2.5000000000000001E-2</v>
      </c>
      <c r="Q18" s="9" t="s">
        <v>49</v>
      </c>
    </row>
    <row r="19" spans="1:20" x14ac:dyDescent="0.25">
      <c r="B19" s="20" t="s">
        <v>7</v>
      </c>
      <c r="C19" s="21"/>
      <c r="D19" s="21"/>
      <c r="E19" s="21"/>
      <c r="F19" s="21"/>
      <c r="G19" s="21"/>
      <c r="H19" s="21"/>
      <c r="I19" s="54"/>
      <c r="J19" s="21"/>
      <c r="K19" s="3">
        <f>K18*0.25</f>
        <v>3195.6450833333333</v>
      </c>
      <c r="L19" s="2" t="s">
        <v>5</v>
      </c>
    </row>
    <row r="20" spans="1:20" ht="19.5" thickBot="1" x14ac:dyDescent="0.35">
      <c r="B20" s="32" t="s">
        <v>9</v>
      </c>
      <c r="C20" s="34"/>
      <c r="D20" s="34"/>
      <c r="E20" s="34"/>
      <c r="F20" s="34"/>
      <c r="G20" s="34"/>
      <c r="H20" s="34"/>
      <c r="I20" s="56"/>
      <c r="J20" s="34"/>
      <c r="K20" s="7">
        <f>K19+K18</f>
        <v>15978.225416666666</v>
      </c>
      <c r="L20" s="40" t="s">
        <v>5</v>
      </c>
      <c r="O20" s="9" t="s">
        <v>47</v>
      </c>
      <c r="P20" s="102">
        <f>-PMT(P18,P17,P16)</f>
        <v>807.66456051533532</v>
      </c>
      <c r="Q20" s="9" t="s">
        <v>46</v>
      </c>
      <c r="S20" s="97">
        <f>+P20+K20</f>
        <v>16785.889977182</v>
      </c>
      <c r="T20" s="9" t="s">
        <v>48</v>
      </c>
    </row>
    <row r="21" spans="1:20" ht="3" customHeight="1" thickTop="1" x14ac:dyDescent="0.25">
      <c r="B21" s="36"/>
      <c r="C21" s="37"/>
      <c r="D21" s="37"/>
      <c r="E21" s="37"/>
      <c r="F21" s="37"/>
      <c r="G21" s="37"/>
      <c r="H21" s="37"/>
      <c r="I21" s="57"/>
      <c r="J21" s="37"/>
      <c r="K21" s="38"/>
      <c r="L21" s="39"/>
    </row>
    <row r="22" spans="1:20" x14ac:dyDescent="0.25">
      <c r="B22" s="4"/>
      <c r="C22" s="1"/>
    </row>
    <row r="23" spans="1:20" ht="17.25" customHeight="1" x14ac:dyDescent="0.25">
      <c r="B23" s="120" t="s">
        <v>51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2"/>
    </row>
    <row r="24" spans="1:20" ht="17.25" customHeight="1" x14ac:dyDescent="0.25">
      <c r="B24" s="14" t="str">
        <f>B60</f>
        <v>Varmeforbrug standardhus</v>
      </c>
      <c r="C24" s="17"/>
      <c r="D24" s="16">
        <f>D7</f>
        <v>18.07</v>
      </c>
      <c r="E24" s="16" t="str">
        <f>E60</f>
        <v>[MWh]</v>
      </c>
      <c r="F24" s="17"/>
      <c r="G24" s="17"/>
      <c r="H24" s="17"/>
      <c r="I24" s="59"/>
      <c r="J24" s="17"/>
      <c r="K24" s="17"/>
      <c r="L24" s="19"/>
      <c r="O24" s="80" t="s">
        <v>39</v>
      </c>
    </row>
    <row r="25" spans="1:20" ht="17.25" customHeight="1" x14ac:dyDescent="0.25">
      <c r="B25" s="105" t="s">
        <v>40</v>
      </c>
      <c r="C25" s="21"/>
      <c r="D25" s="89">
        <v>7.88</v>
      </c>
      <c r="E25" s="11" t="s">
        <v>34</v>
      </c>
      <c r="F25" s="117" t="s">
        <v>58</v>
      </c>
      <c r="G25" s="118"/>
      <c r="H25" s="118"/>
      <c r="I25" s="54"/>
      <c r="J25" s="21"/>
      <c r="K25" s="21"/>
      <c r="L25" s="22"/>
    </row>
    <row r="26" spans="1:20" ht="17.25" customHeight="1" x14ac:dyDescent="0.25">
      <c r="B26" s="20" t="s">
        <v>26</v>
      </c>
      <c r="C26" s="21"/>
      <c r="D26" s="106">
        <f>D9</f>
        <v>1642.7272727272727</v>
      </c>
      <c r="E26" s="21" t="s">
        <v>35</v>
      </c>
      <c r="F26" s="21"/>
      <c r="G26" s="21"/>
      <c r="H26" s="21" t="s">
        <v>3</v>
      </c>
      <c r="I26" s="53">
        <f>+D25/1.25</f>
        <v>6.3040000000000003</v>
      </c>
      <c r="J26" s="11" t="s">
        <v>34</v>
      </c>
      <c r="K26" s="44">
        <f>I26*D26</f>
        <v>10355.752727272727</v>
      </c>
      <c r="L26" s="22" t="s">
        <v>5</v>
      </c>
      <c r="O26" s="9" t="s">
        <v>44</v>
      </c>
      <c r="P26" s="94">
        <v>50000</v>
      </c>
      <c r="Q26" s="9" t="s">
        <v>45</v>
      </c>
      <c r="R26" s="9" t="s">
        <v>53</v>
      </c>
    </row>
    <row r="27" spans="1:20" ht="17.25" customHeight="1" x14ac:dyDescent="0.25">
      <c r="B27" s="43" t="s">
        <v>13</v>
      </c>
      <c r="C27" s="23"/>
      <c r="D27" s="21"/>
      <c r="E27" s="21"/>
      <c r="F27" s="21"/>
      <c r="G27" s="21"/>
      <c r="H27" s="21"/>
      <c r="I27" s="54"/>
      <c r="J27" s="21"/>
      <c r="K27" s="90">
        <v>1800</v>
      </c>
      <c r="L27" s="22" t="s">
        <v>5</v>
      </c>
      <c r="P27" s="94">
        <v>15</v>
      </c>
      <c r="Q27" s="9" t="s">
        <v>20</v>
      </c>
    </row>
    <row r="28" spans="1:20" ht="17.25" customHeight="1" x14ac:dyDescent="0.25">
      <c r="B28" s="24" t="s">
        <v>8</v>
      </c>
      <c r="C28" s="11"/>
      <c r="D28" s="21"/>
      <c r="E28" s="21"/>
      <c r="F28" s="21"/>
      <c r="G28" s="21"/>
      <c r="H28" s="21"/>
      <c r="I28" s="54"/>
      <c r="J28" s="21"/>
      <c r="K28" s="18">
        <f>SUM(K25:K27)</f>
        <v>12155.752727272727</v>
      </c>
      <c r="L28" s="22" t="s">
        <v>5</v>
      </c>
      <c r="P28" s="95">
        <v>2.5000000000000001E-2</v>
      </c>
      <c r="Q28" s="9" t="s">
        <v>49</v>
      </c>
    </row>
    <row r="29" spans="1:20" ht="17.25" customHeight="1" x14ac:dyDescent="0.25">
      <c r="B29" s="20" t="s">
        <v>7</v>
      </c>
      <c r="C29" s="21"/>
      <c r="D29" s="21"/>
      <c r="E29" s="21"/>
      <c r="F29" s="21"/>
      <c r="G29" s="21"/>
      <c r="H29" s="21"/>
      <c r="I29" s="54"/>
      <c r="J29" s="21"/>
      <c r="K29" s="3">
        <f>K28*0.25</f>
        <v>3038.9381818181819</v>
      </c>
      <c r="L29" s="2" t="s">
        <v>5</v>
      </c>
    </row>
    <row r="30" spans="1:20" ht="17.25" customHeight="1" thickBot="1" x14ac:dyDescent="0.35">
      <c r="B30" s="32" t="s">
        <v>9</v>
      </c>
      <c r="C30" s="1"/>
      <c r="D30" s="1"/>
      <c r="E30" s="1"/>
      <c r="F30" s="1"/>
      <c r="G30" s="1"/>
      <c r="H30" s="1"/>
      <c r="I30" s="60"/>
      <c r="J30" s="1"/>
      <c r="K30" s="7">
        <f>K29+K28</f>
        <v>15194.69090909091</v>
      </c>
      <c r="L30" s="40" t="s">
        <v>5</v>
      </c>
      <c r="M30" s="35"/>
      <c r="O30" s="9" t="s">
        <v>47</v>
      </c>
      <c r="P30" s="102">
        <f>-PMT(P28,P27,P26)</f>
        <v>4038.3228025766766</v>
      </c>
      <c r="Q30" s="9" t="s">
        <v>46</v>
      </c>
      <c r="S30" s="97">
        <f>+P30+K30</f>
        <v>19233.013711667587</v>
      </c>
      <c r="T30" s="9" t="s">
        <v>48</v>
      </c>
    </row>
    <row r="31" spans="1:20" ht="15.75" thickTop="1" x14ac:dyDescent="0.25">
      <c r="A31" s="41"/>
      <c r="B31" s="37"/>
      <c r="C31" s="37"/>
      <c r="D31" s="37"/>
      <c r="E31" s="37"/>
      <c r="F31" s="37"/>
      <c r="G31" s="37"/>
      <c r="H31" s="37"/>
      <c r="I31" s="57"/>
      <c r="J31" s="37"/>
      <c r="K31" s="37"/>
      <c r="L31" s="39"/>
      <c r="M31" s="35"/>
      <c r="S31" s="96"/>
    </row>
    <row r="32" spans="1:20" x14ac:dyDescent="0.25">
      <c r="B32" s="4"/>
      <c r="C32" s="1"/>
    </row>
    <row r="33" spans="2:20" x14ac:dyDescent="0.25">
      <c r="B33" s="120" t="str">
        <f>"Standard Varmepumpeopvarmet hus : Luft til Væske med COP effekt = "&amp;C10&amp;" (EL)"</f>
        <v>Standard Varmepumpeopvarmet hus : Luft til Væske med COP effekt = 3,15 (EL)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2:20" x14ac:dyDescent="0.25">
      <c r="B34" s="14" t="str">
        <f>B46</f>
        <v>Varmeforbrug standardhus</v>
      </c>
      <c r="C34" s="17"/>
      <c r="D34" s="16">
        <f>D7</f>
        <v>18.07</v>
      </c>
      <c r="E34" s="16" t="s">
        <v>1</v>
      </c>
      <c r="F34" s="17"/>
      <c r="G34" s="17"/>
      <c r="H34" s="17"/>
      <c r="I34" s="52"/>
      <c r="J34" s="17"/>
      <c r="K34" s="18"/>
      <c r="L34" s="19"/>
    </row>
    <row r="35" spans="2:20" x14ac:dyDescent="0.25">
      <c r="B35" s="104" t="s">
        <v>38</v>
      </c>
      <c r="C35" s="21"/>
      <c r="D35" s="91">
        <v>207.42</v>
      </c>
      <c r="E35" s="119" t="s">
        <v>25</v>
      </c>
      <c r="F35" s="119"/>
      <c r="G35" s="119"/>
      <c r="H35" s="119"/>
      <c r="I35" s="119"/>
      <c r="J35" s="21"/>
      <c r="K35" s="27"/>
      <c r="L35" s="22"/>
      <c r="O35" s="80" t="s">
        <v>54</v>
      </c>
    </row>
    <row r="36" spans="2:20" x14ac:dyDescent="0.25">
      <c r="B36" s="20" t="s">
        <v>16</v>
      </c>
      <c r="C36" s="21"/>
      <c r="D36" s="107">
        <f>D10</f>
        <v>5736.5079365079364</v>
      </c>
      <c r="E36" s="45" t="s">
        <v>17</v>
      </c>
      <c r="F36" s="21"/>
      <c r="G36" s="21"/>
      <c r="H36" s="21" t="s">
        <v>3</v>
      </c>
      <c r="I36" s="53">
        <f>D35/1.25</f>
        <v>165.93599999999998</v>
      </c>
      <c r="J36" s="21" t="s">
        <v>18</v>
      </c>
      <c r="K36" s="44">
        <f>I36*D36/100</f>
        <v>9518.9318095238068</v>
      </c>
      <c r="L36" s="22" t="s">
        <v>5</v>
      </c>
    </row>
    <row r="37" spans="2:20" x14ac:dyDescent="0.25">
      <c r="B37" s="20" t="str">
        <f>B50</f>
        <v xml:space="preserve">Reduktion af el-afgift for forbrug over </v>
      </c>
      <c r="C37" s="21"/>
      <c r="D37" s="21"/>
      <c r="E37" s="21"/>
      <c r="F37" s="21"/>
      <c r="G37" s="21"/>
      <c r="H37" s="21"/>
      <c r="I37" s="53"/>
      <c r="J37" s="21"/>
      <c r="K37" s="44"/>
      <c r="L37" s="22" t="s">
        <v>5</v>
      </c>
    </row>
    <row r="38" spans="2:20" x14ac:dyDescent="0.25">
      <c r="B38" s="26" t="str">
        <f>"4.000 kWh "&amp;-I38&amp;" [øre/kWh] ekskl. moms"</f>
        <v>4.000 kWh 89,2 [øre/kWh] ekskl. moms</v>
      </c>
      <c r="C38" s="101"/>
      <c r="D38" s="107">
        <f>D36-4000</f>
        <v>1736.5079365079364</v>
      </c>
      <c r="E38" s="21"/>
      <c r="F38" s="21"/>
      <c r="G38" s="21"/>
      <c r="H38" s="21" t="s">
        <v>3</v>
      </c>
      <c r="I38" s="93">
        <v>-89.2</v>
      </c>
      <c r="J38" s="21" t="s">
        <v>18</v>
      </c>
      <c r="K38" s="44">
        <f>I38*D38/100</f>
        <v>-1548.9650793650792</v>
      </c>
      <c r="L38" s="22" t="s">
        <v>5</v>
      </c>
    </row>
    <row r="39" spans="2:20" x14ac:dyDescent="0.25">
      <c r="B39" s="20"/>
      <c r="C39" s="21"/>
      <c r="D39" s="33"/>
      <c r="E39" s="21"/>
      <c r="F39" s="21"/>
      <c r="G39" s="21"/>
      <c r="H39" s="21"/>
      <c r="I39" s="53"/>
      <c r="J39" s="21"/>
      <c r="K39" s="44"/>
      <c r="L39" s="22"/>
      <c r="O39" s="9" t="s">
        <v>44</v>
      </c>
      <c r="P39" s="94">
        <v>100000</v>
      </c>
      <c r="Q39" s="9" t="s">
        <v>45</v>
      </c>
      <c r="R39" s="9" t="s">
        <v>53</v>
      </c>
    </row>
    <row r="40" spans="2:20" x14ac:dyDescent="0.25">
      <c r="B40" s="20" t="s">
        <v>19</v>
      </c>
      <c r="C40" s="21"/>
      <c r="D40" s="116"/>
      <c r="E40" s="21"/>
      <c r="F40" s="21"/>
      <c r="G40" s="21"/>
      <c r="H40" s="21"/>
      <c r="I40" s="53"/>
      <c r="J40" s="21"/>
      <c r="K40" s="90">
        <v>1200</v>
      </c>
      <c r="L40" s="22" t="s">
        <v>5</v>
      </c>
      <c r="P40" s="94">
        <v>15</v>
      </c>
      <c r="Q40" s="9" t="s">
        <v>20</v>
      </c>
    </row>
    <row r="41" spans="2:20" x14ac:dyDescent="0.25">
      <c r="B41" s="24" t="s">
        <v>8</v>
      </c>
      <c r="C41" s="11"/>
      <c r="D41" s="11"/>
      <c r="E41" s="11"/>
      <c r="F41" s="11"/>
      <c r="G41" s="11"/>
      <c r="H41" s="11"/>
      <c r="I41" s="55"/>
      <c r="J41" s="11"/>
      <c r="K41" s="18">
        <f>SUM(K34:K40)</f>
        <v>9169.9667301587288</v>
      </c>
      <c r="L41" s="22" t="s">
        <v>5</v>
      </c>
      <c r="P41" s="95">
        <v>2.5000000000000001E-2</v>
      </c>
      <c r="Q41" s="9" t="s">
        <v>49</v>
      </c>
    </row>
    <row r="42" spans="2:20" x14ac:dyDescent="0.25">
      <c r="B42" s="20" t="s">
        <v>7</v>
      </c>
      <c r="C42" s="21"/>
      <c r="D42" s="21"/>
      <c r="E42" s="21"/>
      <c r="F42" s="21"/>
      <c r="G42" s="21"/>
      <c r="H42" s="21"/>
      <c r="I42" s="54"/>
      <c r="J42" s="21"/>
      <c r="K42" s="3">
        <f>K41*0.25</f>
        <v>2292.4916825396822</v>
      </c>
      <c r="L42" s="2" t="s">
        <v>5</v>
      </c>
    </row>
    <row r="43" spans="2:20" ht="19.5" thickBot="1" x14ac:dyDescent="0.35">
      <c r="B43" s="32" t="s">
        <v>9</v>
      </c>
      <c r="C43" s="34"/>
      <c r="D43" s="34"/>
      <c r="E43" s="34"/>
      <c r="F43" s="34"/>
      <c r="G43" s="34"/>
      <c r="H43" s="34"/>
      <c r="I43" s="56"/>
      <c r="J43" s="34"/>
      <c r="K43" s="7">
        <f>K42+K41</f>
        <v>11462.458412698412</v>
      </c>
      <c r="L43" s="40" t="s">
        <v>5</v>
      </c>
      <c r="O43" s="9" t="s">
        <v>47</v>
      </c>
      <c r="P43" s="102">
        <f>-PMT(P41,P40,P39)</f>
        <v>8076.6456051533532</v>
      </c>
      <c r="Q43" s="9" t="s">
        <v>46</v>
      </c>
      <c r="S43" s="97">
        <f>+P43+K43</f>
        <v>19539.104017851765</v>
      </c>
      <c r="T43" s="9" t="s">
        <v>48</v>
      </c>
    </row>
    <row r="44" spans="2:20" ht="15.75" thickTop="1" x14ac:dyDescent="0.25"/>
    <row r="45" spans="2:20" x14ac:dyDescent="0.25">
      <c r="B45" s="120" t="s">
        <v>50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2"/>
    </row>
    <row r="46" spans="2:20" x14ac:dyDescent="0.25">
      <c r="B46" s="25" t="str">
        <f>B14</f>
        <v>Varmeforbrug standardhus</v>
      </c>
      <c r="C46" s="98"/>
      <c r="D46" s="16">
        <f>D7</f>
        <v>18.07</v>
      </c>
      <c r="E46" s="16" t="str">
        <f>E14</f>
        <v>[MWh]</v>
      </c>
      <c r="F46" s="16"/>
      <c r="G46" s="17"/>
      <c r="H46" s="17"/>
      <c r="I46" s="59"/>
      <c r="J46" s="17"/>
      <c r="K46" s="17"/>
      <c r="L46" s="19"/>
    </row>
    <row r="47" spans="2:20" x14ac:dyDescent="0.25">
      <c r="B47" s="26"/>
      <c r="C47" s="99"/>
      <c r="D47" s="6"/>
      <c r="E47" s="45"/>
      <c r="F47" s="21"/>
      <c r="G47" s="21"/>
      <c r="H47" s="21"/>
      <c r="I47" s="53"/>
      <c r="J47" s="21"/>
      <c r="K47" s="44"/>
      <c r="L47" s="22"/>
    </row>
    <row r="48" spans="2:20" x14ac:dyDescent="0.25">
      <c r="B48" s="26" t="str">
        <f>+B35</f>
        <v>Pris er fra SEAS-NVE, fastpris-aftale på elpris.dk (04.02.2021)</v>
      </c>
      <c r="C48" s="99"/>
      <c r="D48" s="103">
        <f>+D35</f>
        <v>207.42</v>
      </c>
      <c r="E48" s="119" t="s">
        <v>25</v>
      </c>
      <c r="F48" s="119"/>
      <c r="G48" s="119"/>
      <c r="H48" s="119"/>
      <c r="I48" s="119"/>
      <c r="J48" s="21"/>
      <c r="K48" s="27"/>
      <c r="L48" s="22"/>
      <c r="O48" s="80"/>
    </row>
    <row r="49" spans="2:15" x14ac:dyDescent="0.25">
      <c r="B49" s="28" t="s">
        <v>16</v>
      </c>
      <c r="C49" s="100"/>
      <c r="D49" s="108">
        <f>D46*1000</f>
        <v>18070</v>
      </c>
      <c r="E49" s="29" t="s">
        <v>17</v>
      </c>
      <c r="F49" s="11"/>
      <c r="G49" s="11"/>
      <c r="H49" s="11" t="s">
        <v>3</v>
      </c>
      <c r="I49" s="61">
        <f>D48/1.25</f>
        <v>165.93599999999998</v>
      </c>
      <c r="J49" s="11" t="s">
        <v>18</v>
      </c>
      <c r="K49" s="30">
        <f>I49*D49/100</f>
        <v>29984.635199999997</v>
      </c>
      <c r="L49" s="13" t="s">
        <v>5</v>
      </c>
    </row>
    <row r="50" spans="2:15" x14ac:dyDescent="0.25">
      <c r="B50" s="26" t="s">
        <v>14</v>
      </c>
      <c r="C50" s="101"/>
      <c r="D50" s="21"/>
      <c r="E50" s="21"/>
      <c r="F50" s="21"/>
      <c r="G50" s="21"/>
      <c r="H50" s="21"/>
      <c r="I50" s="54"/>
      <c r="J50" s="21"/>
      <c r="K50" s="27"/>
      <c r="L50" s="22"/>
    </row>
    <row r="51" spans="2:15" x14ac:dyDescent="0.25">
      <c r="B51" s="26" t="str">
        <f>"4.000 kWh "&amp;-I51&amp;" [øre/kWh] ekskl. moms"</f>
        <v>4.000 kWh 89,2 [øre/kWh] ekskl. moms</v>
      </c>
      <c r="C51" s="101"/>
      <c r="D51" s="107">
        <f>D49-4000</f>
        <v>14070</v>
      </c>
      <c r="E51" s="21"/>
      <c r="F51" s="21"/>
      <c r="G51" s="21"/>
      <c r="H51" s="21" t="s">
        <v>3</v>
      </c>
      <c r="I51" s="61">
        <f>+I38</f>
        <v>-89.2</v>
      </c>
      <c r="J51" s="21" t="s">
        <v>18</v>
      </c>
      <c r="K51" s="44">
        <f>D51*I51/100</f>
        <v>-12550.44</v>
      </c>
      <c r="L51" s="22" t="s">
        <v>5</v>
      </c>
    </row>
    <row r="52" spans="2:15" x14ac:dyDescent="0.25">
      <c r="B52" s="20"/>
      <c r="C52" s="21"/>
      <c r="D52" s="21"/>
      <c r="E52" s="21"/>
      <c r="F52" s="21"/>
      <c r="G52" s="21"/>
      <c r="H52" s="21"/>
      <c r="I52" s="54"/>
      <c r="J52" s="21"/>
      <c r="K52" s="8"/>
      <c r="L52" s="2"/>
    </row>
    <row r="53" spans="2:15" x14ac:dyDescent="0.25">
      <c r="B53" s="24" t="s">
        <v>8</v>
      </c>
      <c r="C53" s="11"/>
      <c r="D53" s="11"/>
      <c r="E53" s="11"/>
      <c r="F53" s="11"/>
      <c r="G53" s="11"/>
      <c r="H53" s="11"/>
      <c r="I53" s="55"/>
      <c r="J53" s="11"/>
      <c r="K53" s="18">
        <f>SUM(K47:K52)</f>
        <v>17434.195199999995</v>
      </c>
      <c r="L53" s="22" t="s">
        <v>5</v>
      </c>
    </row>
    <row r="54" spans="2:15" x14ac:dyDescent="0.25">
      <c r="B54" s="20" t="s">
        <v>7</v>
      </c>
      <c r="C54" s="21"/>
      <c r="D54" s="21"/>
      <c r="E54" s="21"/>
      <c r="F54" s="21"/>
      <c r="G54" s="21"/>
      <c r="H54" s="21"/>
      <c r="I54" s="54"/>
      <c r="J54" s="21"/>
      <c r="K54" s="3">
        <f>K53*0.25</f>
        <v>4358.5487999999987</v>
      </c>
      <c r="L54" s="2" t="s">
        <v>5</v>
      </c>
    </row>
    <row r="55" spans="2:15" ht="15.75" thickBot="1" x14ac:dyDescent="0.3">
      <c r="B55" s="32" t="s">
        <v>9</v>
      </c>
      <c r="C55" s="34"/>
      <c r="D55" s="34"/>
      <c r="E55" s="34"/>
      <c r="F55" s="34"/>
      <c r="G55" s="34"/>
      <c r="H55" s="34"/>
      <c r="I55" s="56"/>
      <c r="J55" s="34"/>
      <c r="K55" s="7">
        <f>K54+K53</f>
        <v>21792.743999999992</v>
      </c>
      <c r="L55" s="31" t="s">
        <v>5</v>
      </c>
    </row>
    <row r="56" spans="2:15" ht="3" customHeight="1" thickTop="1" x14ac:dyDescent="0.25">
      <c r="B56" s="36"/>
      <c r="C56" s="37"/>
      <c r="D56" s="37"/>
      <c r="E56" s="37"/>
      <c r="F56" s="37"/>
      <c r="G56" s="37"/>
      <c r="H56" s="37"/>
      <c r="I56" s="57"/>
      <c r="J56" s="37"/>
      <c r="K56" s="38"/>
      <c r="L56" s="39"/>
      <c r="M56" s="35"/>
    </row>
    <row r="58" spans="2:15" x14ac:dyDescent="0.25">
      <c r="B58" s="4"/>
      <c r="C58" s="1"/>
    </row>
    <row r="59" spans="2:15" ht="17.25" customHeight="1" x14ac:dyDescent="0.25">
      <c r="B59" s="120" t="s">
        <v>10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2"/>
    </row>
    <row r="60" spans="2:15" ht="17.25" customHeight="1" x14ac:dyDescent="0.25">
      <c r="B60" s="14" t="str">
        <f>B14</f>
        <v>Varmeforbrug standardhus</v>
      </c>
      <c r="C60" s="17"/>
      <c r="D60" s="16">
        <f>D7</f>
        <v>18.07</v>
      </c>
      <c r="E60" s="16" t="str">
        <f>E14</f>
        <v>[MWh]</v>
      </c>
      <c r="F60" s="17"/>
      <c r="G60" s="17"/>
      <c r="H60" s="17"/>
      <c r="I60" s="59"/>
      <c r="J60" s="17"/>
      <c r="K60" s="17"/>
      <c r="L60" s="19"/>
    </row>
    <row r="61" spans="2:15" ht="17.25" customHeight="1" x14ac:dyDescent="0.25">
      <c r="B61" s="20" t="s">
        <v>37</v>
      </c>
      <c r="C61" s="21"/>
      <c r="D61" s="89">
        <v>10.25</v>
      </c>
      <c r="E61" s="123" t="s">
        <v>23</v>
      </c>
      <c r="F61" s="123"/>
      <c r="G61" s="123"/>
      <c r="H61" s="123"/>
      <c r="I61" s="54"/>
      <c r="J61" s="21"/>
      <c r="K61" s="21"/>
      <c r="L61" s="22"/>
      <c r="O61" s="80" t="s">
        <v>36</v>
      </c>
    </row>
    <row r="62" spans="2:15" ht="17.25" customHeight="1" x14ac:dyDescent="0.25">
      <c r="B62" s="20" t="s">
        <v>24</v>
      </c>
      <c r="C62" s="21"/>
      <c r="D62" s="67">
        <f>D8</f>
        <v>1807</v>
      </c>
      <c r="E62" s="44" t="s">
        <v>11</v>
      </c>
      <c r="F62" s="21"/>
      <c r="G62" s="21"/>
      <c r="H62" s="21" t="s">
        <v>3</v>
      </c>
      <c r="I62" s="53">
        <f>D61*0.8</f>
        <v>8.2000000000000011</v>
      </c>
      <c r="J62" s="42" t="s">
        <v>12</v>
      </c>
      <c r="K62" s="44">
        <f>I62*D62</f>
        <v>14817.400000000001</v>
      </c>
      <c r="L62" s="22" t="s">
        <v>5</v>
      </c>
    </row>
    <row r="63" spans="2:15" ht="17.25" customHeight="1" x14ac:dyDescent="0.25">
      <c r="B63" s="43" t="s">
        <v>13</v>
      </c>
      <c r="C63" s="23"/>
      <c r="D63" s="21"/>
      <c r="E63" s="21"/>
      <c r="F63" s="21"/>
      <c r="G63" s="21"/>
      <c r="H63" s="21"/>
      <c r="I63" s="54"/>
      <c r="J63" s="21"/>
      <c r="K63" s="90">
        <v>1800</v>
      </c>
      <c r="L63" s="22" t="s">
        <v>5</v>
      </c>
    </row>
    <row r="64" spans="2:15" ht="17.25" customHeight="1" x14ac:dyDescent="0.25">
      <c r="B64" s="24" t="s">
        <v>8</v>
      </c>
      <c r="C64" s="11"/>
      <c r="D64" s="21"/>
      <c r="E64" s="21"/>
      <c r="F64" s="21"/>
      <c r="G64" s="21"/>
      <c r="H64" s="21"/>
      <c r="I64" s="54"/>
      <c r="J64" s="21"/>
      <c r="K64" s="18">
        <f>SUM(K61:K63)</f>
        <v>16617.400000000001</v>
      </c>
      <c r="L64" s="22" t="s">
        <v>5</v>
      </c>
    </row>
    <row r="65" spans="1:13" ht="17.25" customHeight="1" x14ac:dyDescent="0.25">
      <c r="B65" s="20" t="s">
        <v>7</v>
      </c>
      <c r="C65" s="21"/>
      <c r="D65" s="21"/>
      <c r="E65" s="21"/>
      <c r="F65" s="21"/>
      <c r="G65" s="21"/>
      <c r="H65" s="21"/>
      <c r="I65" s="54"/>
      <c r="J65" s="21"/>
      <c r="K65" s="3">
        <f>K64*0.25</f>
        <v>4154.3500000000004</v>
      </c>
      <c r="L65" s="2" t="s">
        <v>5</v>
      </c>
    </row>
    <row r="66" spans="1:13" ht="17.25" customHeight="1" thickBot="1" x14ac:dyDescent="0.3">
      <c r="B66" s="32" t="s">
        <v>9</v>
      </c>
      <c r="C66" s="1"/>
      <c r="D66" s="1"/>
      <c r="E66" s="1"/>
      <c r="F66" s="1"/>
      <c r="G66" s="1"/>
      <c r="H66" s="1"/>
      <c r="I66" s="60"/>
      <c r="J66" s="1"/>
      <c r="K66" s="7">
        <f>K65+K64</f>
        <v>20771.75</v>
      </c>
      <c r="L66" s="40" t="s">
        <v>5</v>
      </c>
      <c r="M66" s="35"/>
    </row>
    <row r="67" spans="1:13" ht="15.75" thickTop="1" x14ac:dyDescent="0.25">
      <c r="A67" s="41"/>
      <c r="B67" s="37"/>
      <c r="C67" s="37"/>
      <c r="D67" s="37"/>
      <c r="E67" s="37"/>
      <c r="F67" s="37"/>
      <c r="G67" s="37"/>
      <c r="H67" s="37"/>
      <c r="I67" s="57"/>
      <c r="J67" s="37"/>
      <c r="K67" s="37"/>
      <c r="L67" s="39"/>
      <c r="M67" s="35"/>
    </row>
    <row r="102" spans="2:12" ht="2.25" customHeight="1" x14ac:dyDescent="0.25">
      <c r="B102" s="36"/>
      <c r="C102" s="37"/>
      <c r="D102" s="37"/>
      <c r="E102" s="37"/>
      <c r="F102" s="37"/>
      <c r="G102" s="37"/>
      <c r="H102" s="37"/>
      <c r="I102" s="57"/>
      <c r="J102" s="37"/>
      <c r="K102" s="38"/>
      <c r="L102" s="39"/>
    </row>
  </sheetData>
  <mergeCells count="9">
    <mergeCell ref="E35:I35"/>
    <mergeCell ref="B59:L59"/>
    <mergeCell ref="E61:H61"/>
    <mergeCell ref="B5:L5"/>
    <mergeCell ref="B13:L13"/>
    <mergeCell ref="B45:L45"/>
    <mergeCell ref="B23:L23"/>
    <mergeCell ref="E48:I48"/>
    <mergeCell ref="B33:L33"/>
  </mergeCells>
  <hyperlinks>
    <hyperlink ref="O61" r:id="rId1"/>
    <hyperlink ref="O24" r:id="rId2"/>
    <hyperlink ref="O14" r:id="rId3"/>
    <hyperlink ref="O35" r:id="rId4" location="/"/>
  </hyperlinks>
  <pageMargins left="0.7" right="0.7" top="0.75" bottom="0.75" header="0.3" footer="0.3"/>
  <pageSetup paperSize="9" scale="67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Vejledende beregning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Priser for opvarmning af huse</dc:title>
  <dc:subject>Beregningsskema opvarmning ejendommen</dc:subject>
  <dc:creator>Eric Clarke</dc:creator>
  <cp:keywords>Beregningsskema - opvarmning af ejendomme</cp:keywords>
  <cp:lastModifiedBy>Karen Eiken Jensen</cp:lastModifiedBy>
  <cp:lastPrinted>2020-01-30T12:05:51Z</cp:lastPrinted>
  <dcterms:created xsi:type="dcterms:W3CDTF">2015-08-11T12:02:36Z</dcterms:created>
  <dcterms:modified xsi:type="dcterms:W3CDTF">2021-02-05T13:20:38Z</dcterms:modified>
</cp:coreProperties>
</file>