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cl\Desktop\Div Varme MKV\"/>
    </mc:Choice>
  </mc:AlternateContent>
  <xr:revisionPtr revIDLastSave="0" documentId="13_ncr:1_{A4D33DA7-C308-44D4-B6CE-A2DB582FCB2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Vejledende beregning" sheetId="2" r:id="rId1"/>
    <sheet name="VejlForbrug" sheetId="4" r:id="rId2"/>
  </sheets>
  <definedNames>
    <definedName name="_xlnm.Print_Area" localSheetId="1">VejlForbrug!$A$1:$I$66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2" l="1"/>
  <c r="I29" i="2" s="1"/>
  <c r="I26" i="2"/>
  <c r="K26" i="2" s="1"/>
  <c r="I42" i="2"/>
  <c r="D39" i="2"/>
  <c r="D52" i="2"/>
  <c r="K44" i="2"/>
  <c r="B64" i="4"/>
  <c r="H64" i="4" s="1"/>
  <c r="B62" i="4"/>
  <c r="H62" i="4" s="1"/>
  <c r="E60" i="4"/>
  <c r="B60" i="4"/>
  <c r="H60" i="4" s="1"/>
  <c r="B58" i="4"/>
  <c r="H58" i="4" s="1"/>
  <c r="B56" i="4"/>
  <c r="H56" i="4" s="1"/>
  <c r="B54" i="4"/>
  <c r="H54" i="4" s="1"/>
  <c r="B52" i="4"/>
  <c r="H52" i="4" s="1"/>
  <c r="B50" i="4"/>
  <c r="H50" i="4" s="1"/>
  <c r="B48" i="4"/>
  <c r="H48" i="4" s="1"/>
  <c r="B46" i="4"/>
  <c r="H46" i="4" s="1"/>
  <c r="B44" i="4"/>
  <c r="H44" i="4" s="1"/>
  <c r="B42" i="4"/>
  <c r="H42" i="4" s="1"/>
  <c r="B40" i="4"/>
  <c r="H40" i="4" s="1"/>
  <c r="B38" i="4"/>
  <c r="H38" i="4" s="1"/>
  <c r="B36" i="4"/>
  <c r="H36" i="4" s="1"/>
  <c r="B34" i="4"/>
  <c r="H34" i="4" s="1"/>
  <c r="B32" i="4"/>
  <c r="H32" i="4" s="1"/>
  <c r="B30" i="4"/>
  <c r="H30" i="4" s="1"/>
  <c r="B28" i="4"/>
  <c r="H28" i="4" s="1"/>
  <c r="B26" i="4"/>
  <c r="H26" i="4" s="1"/>
  <c r="B24" i="4"/>
  <c r="H24" i="4" s="1"/>
  <c r="B22" i="4"/>
  <c r="H22" i="4" s="1"/>
  <c r="B20" i="4"/>
  <c r="H20" i="4" s="1"/>
  <c r="B18" i="4"/>
  <c r="H18" i="4" s="1"/>
  <c r="H15" i="4"/>
  <c r="E15" i="4"/>
  <c r="B16" i="4"/>
  <c r="B17" i="4" s="1"/>
  <c r="E64" i="4" l="1"/>
  <c r="E62" i="4"/>
  <c r="E58" i="4"/>
  <c r="E56" i="4"/>
  <c r="E54" i="4"/>
  <c r="E52" i="4"/>
  <c r="E50" i="4"/>
  <c r="E48" i="4"/>
  <c r="E46" i="4"/>
  <c r="E44" i="4"/>
  <c r="E42" i="4"/>
  <c r="E40" i="4"/>
  <c r="E38" i="4"/>
  <c r="E36" i="4"/>
  <c r="E34" i="4"/>
  <c r="E32" i="4"/>
  <c r="E30" i="4"/>
  <c r="E28" i="4"/>
  <c r="E26" i="4"/>
  <c r="E24" i="4"/>
  <c r="E22" i="4"/>
  <c r="E20" i="4"/>
  <c r="E18" i="4"/>
  <c r="E16" i="4"/>
  <c r="H16" i="4"/>
  <c r="H17" i="4"/>
  <c r="E17" i="4"/>
  <c r="K39" i="2"/>
  <c r="B19" i="4" l="1"/>
  <c r="H19" i="4" l="1"/>
  <c r="E19" i="4"/>
  <c r="B21" i="4" l="1"/>
  <c r="D53" i="2"/>
  <c r="K53" i="2" s="1"/>
  <c r="B53" i="2"/>
  <c r="H21" i="4" l="1"/>
  <c r="E21" i="4"/>
  <c r="D3" i="2"/>
  <c r="B23" i="4" l="1"/>
  <c r="H23" i="4" l="1"/>
  <c r="E23" i="4"/>
  <c r="B25" i="4" l="1"/>
  <c r="H25" i="4" l="1"/>
  <c r="E25" i="4"/>
  <c r="B27" i="4" l="1"/>
  <c r="H27" i="4" l="1"/>
  <c r="E27" i="4"/>
  <c r="B29" i="4" l="1"/>
  <c r="H29" i="4" l="1"/>
  <c r="E29" i="4"/>
  <c r="B31" i="4" l="1"/>
  <c r="T65" i="2"/>
  <c r="D66" i="2" s="1"/>
  <c r="H31" i="4" l="1"/>
  <c r="E31" i="4"/>
  <c r="O1" i="2"/>
  <c r="B33" i="4" l="1"/>
  <c r="I25" i="2"/>
  <c r="K25" i="2" s="1"/>
  <c r="H33" i="4" l="1"/>
  <c r="E33" i="4"/>
  <c r="B56" i="2"/>
  <c r="B42" i="2"/>
  <c r="B35" i="4" l="1"/>
  <c r="H35" i="4" l="1"/>
  <c r="E35" i="4"/>
  <c r="B10" i="2"/>
  <c r="B36" i="2"/>
  <c r="D10" i="2"/>
  <c r="D40" i="2" s="1"/>
  <c r="B52" i="2"/>
  <c r="I56" i="2"/>
  <c r="P20" i="2"/>
  <c r="P33" i="2"/>
  <c r="P47" i="2"/>
  <c r="B15" i="2"/>
  <c r="I40" i="2"/>
  <c r="I54" i="2"/>
  <c r="D11" i="2"/>
  <c r="D8" i="2"/>
  <c r="D67" i="2" s="1"/>
  <c r="D9" i="2"/>
  <c r="D29" i="2" s="1"/>
  <c r="F16" i="2"/>
  <c r="D24" i="2"/>
  <c r="D65" i="2"/>
  <c r="D37" i="2"/>
  <c r="D50" i="2"/>
  <c r="D54" i="2" s="1"/>
  <c r="D56" i="2" s="1"/>
  <c r="I67" i="2"/>
  <c r="E65" i="2"/>
  <c r="E24" i="2" s="1"/>
  <c r="B65" i="2"/>
  <c r="B24" i="2" s="1"/>
  <c r="B41" i="2"/>
  <c r="E50" i="2"/>
  <c r="B50" i="2"/>
  <c r="B37" i="2" s="1"/>
  <c r="D14" i="2"/>
  <c r="K56" i="2" l="1"/>
  <c r="B37" i="4"/>
  <c r="D15" i="2"/>
  <c r="K16" i="2"/>
  <c r="D42" i="2"/>
  <c r="K42" i="2" s="1"/>
  <c r="K54" i="2"/>
  <c r="K58" i="2" s="1"/>
  <c r="K59" i="2" s="1"/>
  <c r="K60" i="2" s="1"/>
  <c r="K67" i="2"/>
  <c r="K69" i="2" s="1"/>
  <c r="K70" i="2" s="1"/>
  <c r="K71" i="2" s="1"/>
  <c r="K14" i="2"/>
  <c r="K40" i="2"/>
  <c r="H37" i="4" l="1"/>
  <c r="E37" i="4"/>
  <c r="K15" i="2"/>
  <c r="K45" i="2"/>
  <c r="K46" i="2" s="1"/>
  <c r="K47" i="2" s="1"/>
  <c r="S47" i="2" s="1"/>
  <c r="B39" i="4" l="1"/>
  <c r="K18" i="2"/>
  <c r="K29" i="2"/>
  <c r="H39" i="4" l="1"/>
  <c r="E39" i="4"/>
  <c r="K19" i="2"/>
  <c r="K20" i="2" s="1"/>
  <c r="S20" i="2" s="1"/>
  <c r="K31" i="2"/>
  <c r="K32" i="2" s="1"/>
  <c r="K33" i="2" s="1"/>
  <c r="S33" i="2" s="1"/>
  <c r="B41" i="4" l="1"/>
  <c r="H41" i="4" l="1"/>
  <c r="E41" i="4"/>
  <c r="B43" i="4" l="1"/>
  <c r="H43" i="4" l="1"/>
  <c r="E43" i="4"/>
  <c r="B45" i="4" l="1"/>
  <c r="H45" i="4" l="1"/>
  <c r="E45" i="4"/>
  <c r="B47" i="4" l="1"/>
  <c r="H47" i="4" l="1"/>
  <c r="E47" i="4"/>
  <c r="B49" i="4" l="1"/>
  <c r="H49" i="4" l="1"/>
  <c r="E49" i="4"/>
  <c r="B51" i="4" l="1"/>
  <c r="H51" i="4" l="1"/>
  <c r="E51" i="4"/>
  <c r="B53" i="4" l="1"/>
  <c r="H53" i="4" l="1"/>
  <c r="E53" i="4"/>
  <c r="B55" i="4" l="1"/>
  <c r="H55" i="4" l="1"/>
  <c r="E55" i="4"/>
  <c r="B57" i="4" l="1"/>
  <c r="H57" i="4" l="1"/>
  <c r="E57" i="4"/>
  <c r="B59" i="4" l="1"/>
  <c r="H59" i="4" l="1"/>
  <c r="E59" i="4"/>
  <c r="B61" i="4" l="1"/>
  <c r="H61" i="4" l="1"/>
  <c r="E61" i="4"/>
  <c r="B63" i="4" l="1"/>
  <c r="H63" i="4" l="1"/>
  <c r="E6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Clarke</author>
  </authors>
  <commentList>
    <comment ref="C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COP effekt</t>
        </r>
        <r>
          <rPr>
            <sz val="9"/>
            <color indexed="81"/>
            <rFont val="Tahoma"/>
            <family val="2"/>
          </rPr>
          <t xml:space="preserve">
Typisk COP effekt for hus med Radiatorvarme =3,15, Gulvarme kræves for højere værdier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Afkøl
ing i gr. 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(dvs. forskel mellem fremløbstemp. og tilbageløbs temp.)</t>
        </r>
      </text>
    </comment>
    <comment ref="I42" authorId="0" shapeId="0" xr:uid="{AA666D91-8A5E-4D91-AB44-29D8A042E360}">
      <text>
        <r>
          <rPr>
            <b/>
            <sz val="9"/>
            <color indexed="81"/>
            <rFont val="Tahoma"/>
            <family val="2"/>
          </rPr>
          <t>Eric Clarke:</t>
        </r>
        <r>
          <rPr>
            <sz val="9"/>
            <color indexed="81"/>
            <rFont val="Tahoma"/>
            <family val="2"/>
          </rPr>
          <t xml:space="preserve">
dvs. Besparelse = minus Statsafgift plus minimumsafgift (ex moms)</t>
        </r>
      </text>
    </comment>
  </commentList>
</comments>
</file>

<file path=xl/sharedStrings.xml><?xml version="1.0" encoding="utf-8"?>
<sst xmlns="http://schemas.openxmlformats.org/spreadsheetml/2006/main" count="423" uniqueCount="91">
  <si>
    <t>Sammenligningsskema for opvarmning</t>
  </si>
  <si>
    <t>[MWh]</t>
  </si>
  <si>
    <r>
      <t>[m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</si>
  <si>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á</t>
  </si>
  <si>
    <t>[DKK/MWh]</t>
  </si>
  <si>
    <t>[DKK]</t>
  </si>
  <si>
    <r>
      <t>[DKK/m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</t>
    </r>
  </si>
  <si>
    <t>Moms 25 %</t>
  </si>
  <si>
    <t>I alt (ekskl. moms)</t>
  </si>
  <si>
    <t>I alt (inkl. moms)</t>
  </si>
  <si>
    <t>Standard olieopvarmet hus</t>
  </si>
  <si>
    <t>[l]</t>
  </si>
  <si>
    <t>[DKK/l]</t>
  </si>
  <si>
    <t>Oliefyrsservice, skorstensfejning, el til brænder og pumper m.m.</t>
  </si>
  <si>
    <t xml:space="preserve">Reduktion af el-afgift for forbrug over </t>
  </si>
  <si>
    <t>Varmeforbrug standardhus</t>
  </si>
  <si>
    <t>Elforbrug til opvarmning</t>
  </si>
  <si>
    <t>[kWh]</t>
  </si>
  <si>
    <t>[øre/kWh]</t>
  </si>
  <si>
    <t>Serviceomkostninger</t>
  </si>
  <si>
    <t>år</t>
  </si>
  <si>
    <t>Standardhus</t>
  </si>
  <si>
    <r>
      <t>Areal (standard 130 [m</t>
    </r>
    <r>
      <rPr>
        <vertAlign val="superscript"/>
        <sz val="11"/>
        <color indexed="8"/>
        <rFont val="Calibri"/>
        <family val="2"/>
      </rPr>
      <t>2</t>
    </r>
    <r>
      <rPr>
        <sz val="11"/>
        <color theme="1"/>
        <rFont val="Calibri"/>
        <family val="2"/>
        <scheme val="minor"/>
      </rPr>
      <t>])</t>
    </r>
  </si>
  <si>
    <t>[DKK/l] (inkl. moms)</t>
  </si>
  <si>
    <t>Olieforbrug</t>
  </si>
  <si>
    <t>[øre/kWh] (inkl. moms)</t>
  </si>
  <si>
    <t>Gasforbrug</t>
  </si>
  <si>
    <t>Årligt rumbidrag</t>
  </si>
  <si>
    <t>1 liter olie svarer til 10 kwh</t>
  </si>
  <si>
    <t>1 m3 gas svarer til 11 kwh</t>
  </si>
  <si>
    <t>l olie</t>
  </si>
  <si>
    <t>ß</t>
  </si>
  <si>
    <t>Varmeforbrug  (standard 18,1 [MWh] - 130 m2)</t>
  </si>
  <si>
    <t>Reguler boligstørrelse her</t>
  </si>
  <si>
    <r>
      <t>[DKK/m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>]</t>
    </r>
  </si>
  <si>
    <r>
      <t>[m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>]</t>
    </r>
  </si>
  <si>
    <t>https://www.bestilfyringsolie.dk/order-page/olietype-olietank/</t>
  </si>
  <si>
    <t>Abonnementsbidrag</t>
  </si>
  <si>
    <t>El-radiatorer , (1 MWh = 1000 kWh)</t>
  </si>
  <si>
    <t>Investering =</t>
  </si>
  <si>
    <t>DKK</t>
  </si>
  <si>
    <t>per år</t>
  </si>
  <si>
    <t>Afdrag+Rente =</t>
  </si>
  <si>
    <t>DKK i alt per år</t>
  </si>
  <si>
    <t>Rente ÅOP</t>
  </si>
  <si>
    <t>Standard gasopvarmet hus (GAS)</t>
  </si>
  <si>
    <t>Standard fjernvarmeopvarmet hus (Vordingborg Fj.V)</t>
  </si>
  <si>
    <t>installation mm. inkl. moms</t>
  </si>
  <si>
    <t>https://elpris.dk/#/</t>
  </si>
  <si>
    <t>(Reguler/tast i de gule felter med blå tekst)</t>
  </si>
  <si>
    <t xml:space="preserve">Reguler varmeforbrug her indtil det passer </t>
  </si>
  <si>
    <r>
      <t xml:space="preserve">med det </t>
    </r>
    <r>
      <rPr>
        <b/>
        <u/>
        <sz val="11"/>
        <color theme="1"/>
        <rFont val="Calibri"/>
        <family val="2"/>
        <scheme val="minor"/>
      </rPr>
      <t>aktuelle forbrug</t>
    </r>
    <r>
      <rPr>
        <b/>
        <sz val="11"/>
        <color theme="1"/>
        <rFont val="Calibri"/>
        <family val="2"/>
        <scheme val="minor"/>
      </rPr>
      <t xml:space="preserve"> af gas, olie eller el.</t>
    </r>
  </si>
  <si>
    <t>(inkl. moms)</t>
  </si>
  <si>
    <r>
      <t>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 xml:space="preserve"> Gas</t>
    </r>
  </si>
  <si>
    <t>kWh el</t>
  </si>
  <si>
    <t>kWh</t>
  </si>
  <si>
    <t>øvrigt EL-forbrug i husholdningen dvs. den del som ikke er til opvarmning</t>
  </si>
  <si>
    <r>
      <t>[DKK/År</t>
    </r>
    <r>
      <rPr>
        <sz val="11"/>
        <color theme="1"/>
        <rFont val="Calibri"/>
        <family val="2"/>
        <scheme val="minor"/>
      </rPr>
      <t>]</t>
    </r>
  </si>
  <si>
    <t>DKK eks moms</t>
  </si>
  <si>
    <t>Gasfyrsservice,  el til brænder og pumper m.m.</t>
  </si>
  <si>
    <t>litre</t>
  </si>
  <si>
    <t>kr inkl Moms</t>
  </si>
  <si>
    <t>priser baseret på</t>
  </si>
  <si>
    <t>MWh/m2</t>
  </si>
  <si>
    <t>https://gasprisguiden.dk/390.html</t>
  </si>
  <si>
    <t>[kr/år] (inkl. moms)</t>
  </si>
  <si>
    <t>Nm3</t>
  </si>
  <si>
    <t>&gt;&gt;&gt;</t>
  </si>
  <si>
    <t>MWh</t>
  </si>
  <si>
    <t>m3</t>
  </si>
  <si>
    <t>v/ afkøling</t>
  </si>
  <si>
    <t>grader C</t>
  </si>
  <si>
    <t>+</t>
  </si>
  <si>
    <t>Nm3 Gas</t>
  </si>
  <si>
    <t>=</t>
  </si>
  <si>
    <t>kWh Fj.Varme</t>
  </si>
  <si>
    <t>Fj. Varme Forbrug</t>
  </si>
  <si>
    <t>Vejledende fjernvarmeforbrug v/ konvertering fra Gas</t>
  </si>
  <si>
    <t>Priser</t>
  </si>
  <si>
    <t>NB!  2025</t>
  </si>
  <si>
    <r>
      <t>[DKK/m</t>
    </r>
    <r>
      <rPr>
        <vertAlign val="superscript"/>
        <sz val="11"/>
        <color indexed="8"/>
        <rFont val="Calibri"/>
        <family val="2"/>
      </rPr>
      <t>3</t>
    </r>
    <r>
      <rPr>
        <sz val="11"/>
        <color theme="1"/>
        <rFont val="Calibri"/>
        <family val="2"/>
        <scheme val="minor"/>
      </rPr>
      <t xml:space="preserve">] </t>
    </r>
    <r>
      <rPr>
        <sz val="8"/>
        <color theme="1"/>
        <rFont val="Calibri"/>
        <family val="2"/>
        <scheme val="minor"/>
      </rPr>
      <t>ex moms</t>
    </r>
  </si>
  <si>
    <t>Abonnement :  Gasprisguiden.dk (Andel energi FastPris) 07.05.2025, fast pris</t>
  </si>
  <si>
    <t>NM3 pris :  Evida Transport (Andel energi FastPris) 07.05.2025, Bedst Fast pris</t>
  </si>
  <si>
    <t>NM3 pris :  Gasprisguiden.dk (Andel energi FastPris) 07.05.2025, Bedst Fast pris</t>
  </si>
  <si>
    <t>Pris er fra andel FastEnergi12 , Fast pris-aftale 6 mdr. på elpris.dk (07.05.2025) 6000 kWh+</t>
  </si>
  <si>
    <t>Pris er fra andel FastEnergi12 , Fast pris-aftale 6 mdr. Abonnement (07.05.2025)</t>
  </si>
  <si>
    <t>https://vordingborgforsyning.dk/media/Fjernvarme_Takster_2025.pdf</t>
  </si>
  <si>
    <t>Pris fra fyringsolie-online.dk Circle K Basis (07.05.2025)</t>
  </si>
  <si>
    <t>Standard elopvarmet hus (EL paneler)</t>
  </si>
  <si>
    <t>https://www.evida.dk/tarifblad010125/</t>
  </si>
  <si>
    <t>SystemTarif :  Evida / Gasprisguiden.dk) 07.05.2025, fast 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</si>
</sst>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#,##0.00\ &quot;kr.&quot;;[Red]\-#,##0.00\ &quot;kr.&quot;"/>
    <numFmt numFmtId="164" formatCode="_ * #,##0.00_ ;_ * \-#,##0.00_ ;_ * &quot;-&quot;??_ ;_ @_ "/>
    <numFmt numFmtId="165" formatCode="_ * #,##0.0_ ;_ * \-#,##0.0_ ;_ * &quot;-&quot;??_ ;_ @_ "/>
    <numFmt numFmtId="166" formatCode="_ * #,##0_ ;_ * \-#,##0_ ;_ * &quot;-&quot;??_ ;_ @_ "/>
    <numFmt numFmtId="167" formatCode="_ * #,##0_ ;_ * \-#,##0_ ;_ * &quot;-&quot;?_ ;_ @_ "/>
    <numFmt numFmtId="168" formatCode="#,##0_ ;\-#,##0\ "/>
    <numFmt numFmtId="169" formatCode="_-* #,##0.0\ _k_r_._-;\-* #,##0.0\ _k_r_._-;_-* &quot;-&quot;?\ _k_r_._-;_-@_-"/>
    <numFmt numFmtId="170" formatCode="#,##0.0_ ;\-#,##0.0\ "/>
    <numFmt numFmtId="171" formatCode="_ * #,##0.0_ ;_ * \-#,##0.0_ ;_ * &quot;-&quot;?_ ;_ @_ "/>
    <numFmt numFmtId="172" formatCode="0.0%"/>
    <numFmt numFmtId="173" formatCode="_ * #,##0.0000_ ;_ * \-#,##0.0000_ ;_ * &quot;-&quot;??_ ;_ @_ "/>
    <numFmt numFmtId="175" formatCode="_ * #,##0.000_ ;_ * \-#,##0.000_ ;_ * &quot;-&quot;??_ ;_ @_ "/>
  </numFmts>
  <fonts count="22" x14ac:knownFonts="1">
    <font>
      <sz val="11"/>
      <color theme="1"/>
      <name val="Calibri"/>
      <family val="2"/>
      <scheme val="minor"/>
    </font>
    <font>
      <vertAlign val="superscript"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indexed="64"/>
      </left>
      <right/>
      <top/>
      <bottom style="thin">
        <color theme="0" tint="-4.9989318521683403E-2"/>
      </bottom>
      <diagonal/>
    </border>
    <border>
      <left/>
      <right style="thin">
        <color indexed="64"/>
      </right>
      <top/>
      <bottom style="thin">
        <color theme="0" tint="-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theme="0" tint="-4.9989318521683403E-2"/>
      </bottom>
      <diagonal/>
    </border>
    <border>
      <left/>
      <right/>
      <top style="thin">
        <color indexed="64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0" tint="-4.9989318521683403E-2"/>
      </top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2" xfId="0" applyBorder="1"/>
    <xf numFmtId="166" fontId="0" fillId="0" borderId="3" xfId="0" applyNumberFormat="1" applyBorder="1"/>
    <xf numFmtId="0" fontId="0" fillId="0" borderId="3" xfId="0" applyBorder="1"/>
    <xf numFmtId="0" fontId="0" fillId="0" borderId="5" xfId="0" applyBorder="1"/>
    <xf numFmtId="167" fontId="0" fillId="0" borderId="0" xfId="0" applyNumberFormat="1"/>
    <xf numFmtId="166" fontId="3" fillId="0" borderId="6" xfId="0" applyNumberFormat="1" applyFont="1" applyBorder="1"/>
    <xf numFmtId="166" fontId="2" fillId="0" borderId="0" xfId="1" applyNumberFormat="1" applyFont="1" applyBorder="1" applyProtection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2" fillId="0" borderId="14" xfId="1" applyNumberFormat="1" applyFont="1" applyBorder="1" applyProtection="1"/>
    <xf numFmtId="165" fontId="0" fillId="0" borderId="14" xfId="0" applyNumberFormat="1" applyBorder="1"/>
    <xf numFmtId="0" fontId="0" fillId="0" borderId="14" xfId="0" applyBorder="1"/>
    <xf numFmtId="166" fontId="2" fillId="0" borderId="14" xfId="1" applyNumberFormat="1" applyFont="1" applyBorder="1" applyProtection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3" xfId="0" applyBorder="1" applyAlignment="1">
      <alignment horizontal="left"/>
    </xf>
    <xf numFmtId="0" fontId="0" fillId="0" borderId="16" xfId="0" applyBorder="1" applyAlignment="1">
      <alignment horizontal="left"/>
    </xf>
    <xf numFmtId="166" fontId="0" fillId="0" borderId="17" xfId="0" applyNumberFormat="1" applyBorder="1"/>
    <xf numFmtId="0" fontId="0" fillId="0" borderId="11" xfId="0" applyBorder="1" applyAlignment="1">
      <alignment horizontal="left"/>
    </xf>
    <xf numFmtId="165" fontId="0" fillId="0" borderId="10" xfId="0" applyNumberFormat="1" applyBorder="1"/>
    <xf numFmtId="166" fontId="2" fillId="0" borderId="10" xfId="1" applyNumberFormat="1" applyFont="1" applyBorder="1" applyProtection="1"/>
    <xf numFmtId="0" fontId="0" fillId="0" borderId="19" xfId="0" applyBorder="1"/>
    <xf numFmtId="0" fontId="0" fillId="0" borderId="20" xfId="0" applyBorder="1"/>
    <xf numFmtId="167" fontId="0" fillId="0" borderId="17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6" fontId="3" fillId="0" borderId="24" xfId="0" applyNumberFormat="1" applyFon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166" fontId="2" fillId="0" borderId="17" xfId="1" applyNumberFormat="1" applyFont="1" applyFill="1" applyBorder="1" applyProtection="1"/>
    <xf numFmtId="166" fontId="2" fillId="0" borderId="17" xfId="1" applyNumberFormat="1" applyFont="1" applyBorder="1" applyProtection="1"/>
    <xf numFmtId="165" fontId="0" fillId="0" borderId="17" xfId="0" applyNumberFormat="1" applyBorder="1"/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2" fontId="4" fillId="0" borderId="0" xfId="0" applyNumberFormat="1" applyFont="1" applyAlignment="1">
      <alignment vertical="top" wrapText="1"/>
    </xf>
    <xf numFmtId="2" fontId="0" fillId="0" borderId="0" xfId="0" applyNumberFormat="1" applyAlignment="1">
      <alignment vertical="top" wrapText="1"/>
    </xf>
    <xf numFmtId="2" fontId="0" fillId="0" borderId="10" xfId="0" applyNumberFormat="1" applyBorder="1"/>
    <xf numFmtId="2" fontId="0" fillId="0" borderId="3" xfId="0" applyNumberFormat="1" applyBorder="1"/>
    <xf numFmtId="2" fontId="2" fillId="0" borderId="14" xfId="1" applyNumberFormat="1" applyFont="1" applyBorder="1" applyProtection="1"/>
    <xf numFmtId="2" fontId="2" fillId="0" borderId="17" xfId="1" applyNumberFormat="1" applyFont="1" applyBorder="1" applyProtection="1"/>
    <xf numFmtId="2" fontId="0" fillId="0" borderId="17" xfId="0" applyNumberFormat="1" applyBorder="1"/>
    <xf numFmtId="2" fontId="0" fillId="0" borderId="21" xfId="0" applyNumberFormat="1" applyBorder="1"/>
    <xf numFmtId="2" fontId="0" fillId="0" borderId="24" xfId="0" applyNumberFormat="1" applyBorder="1"/>
    <xf numFmtId="2" fontId="0" fillId="0" borderId="0" xfId="0" applyNumberFormat="1"/>
    <xf numFmtId="2" fontId="0" fillId="0" borderId="14" xfId="0" applyNumberFormat="1" applyBorder="1"/>
    <xf numFmtId="2" fontId="2" fillId="0" borderId="10" xfId="1" applyNumberFormat="1" applyFont="1" applyBorder="1" applyProtection="1"/>
    <xf numFmtId="0" fontId="0" fillId="0" borderId="4" xfId="0" applyBorder="1"/>
    <xf numFmtId="168" fontId="0" fillId="0" borderId="17" xfId="0" applyNumberFormat="1" applyBorder="1"/>
    <xf numFmtId="0" fontId="5" fillId="0" borderId="10" xfId="0" applyFont="1" applyBorder="1"/>
    <xf numFmtId="0" fontId="0" fillId="0" borderId="1" xfId="0" applyBorder="1"/>
    <xf numFmtId="0" fontId="0" fillId="2" borderId="0" xfId="0" applyFill="1" applyAlignment="1">
      <alignment vertical="top" wrapText="1"/>
    </xf>
    <xf numFmtId="165" fontId="2" fillId="0" borderId="10" xfId="1" applyNumberFormat="1" applyFont="1" applyBorder="1" applyProtection="1"/>
    <xf numFmtId="169" fontId="0" fillId="0" borderId="0" xfId="0" applyNumberFormat="1"/>
    <xf numFmtId="165" fontId="0" fillId="0" borderId="28" xfId="0" applyNumberFormat="1" applyBorder="1"/>
    <xf numFmtId="0" fontId="0" fillId="0" borderId="28" xfId="0" applyBorder="1"/>
    <xf numFmtId="0" fontId="7" fillId="0" borderId="0" xfId="3" applyProtection="1"/>
    <xf numFmtId="165" fontId="2" fillId="0" borderId="10" xfId="1" applyNumberFormat="1" applyFont="1" applyFill="1" applyBorder="1" applyProtection="1">
      <protection locked="0"/>
    </xf>
    <xf numFmtId="165" fontId="2" fillId="0" borderId="0" xfId="1" applyNumberFormat="1" applyFont="1" applyFill="1" applyBorder="1" applyProtection="1">
      <protection locked="0"/>
    </xf>
    <xf numFmtId="165" fontId="2" fillId="0" borderId="3" xfId="1" applyNumberFormat="1" applyFont="1" applyFill="1" applyBorder="1" applyProtection="1">
      <protection locked="0"/>
    </xf>
    <xf numFmtId="2" fontId="8" fillId="2" borderId="28" xfId="1" applyNumberFormat="1" applyFont="1" applyFill="1" applyBorder="1" applyProtection="1"/>
    <xf numFmtId="2" fontId="8" fillId="2" borderId="0" xfId="1" applyNumberFormat="1" applyFont="1" applyFill="1" applyBorder="1" applyProtection="1"/>
    <xf numFmtId="2" fontId="8" fillId="2" borderId="10" xfId="1" applyNumberFormat="1" applyFont="1" applyFill="1" applyBorder="1" applyProtection="1"/>
    <xf numFmtId="164" fontId="8" fillId="2" borderId="17" xfId="1" applyFont="1" applyFill="1" applyBorder="1" applyProtection="1">
      <protection locked="0"/>
    </xf>
    <xf numFmtId="166" fontId="8" fillId="2" borderId="17" xfId="1" applyNumberFormat="1" applyFont="1" applyFill="1" applyBorder="1" applyProtection="1">
      <protection locked="0"/>
    </xf>
    <xf numFmtId="164" fontId="8" fillId="2" borderId="0" xfId="1" applyFont="1" applyFill="1" applyBorder="1" applyProtection="1">
      <protection locked="0"/>
    </xf>
    <xf numFmtId="0" fontId="8" fillId="2" borderId="0" xfId="0" applyFont="1" applyFill="1"/>
    <xf numFmtId="2" fontId="8" fillId="2" borderId="17" xfId="1" applyNumberFormat="1" applyFont="1" applyFill="1" applyBorder="1" applyProtection="1"/>
    <xf numFmtId="166" fontId="8" fillId="2" borderId="0" xfId="1" applyNumberFormat="1" applyFont="1" applyFill="1" applyProtection="1"/>
    <xf numFmtId="10" fontId="8" fillId="2" borderId="0" xfId="2" applyNumberFormat="1" applyFont="1" applyFill="1" applyProtection="1"/>
    <xf numFmtId="166" fontId="0" fillId="0" borderId="0" xfId="0" applyNumberFormat="1"/>
    <xf numFmtId="166" fontId="9" fillId="0" borderId="0" xfId="0" applyNumberFormat="1" applyFont="1"/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0" fillId="0" borderId="17" xfId="0" applyBorder="1" applyAlignment="1">
      <alignment horizontal="left"/>
    </xf>
    <xf numFmtId="8" fontId="3" fillId="0" borderId="0" xfId="0" applyNumberFormat="1" applyFont="1"/>
    <xf numFmtId="164" fontId="12" fillId="3" borderId="0" xfId="1" applyFont="1" applyFill="1" applyBorder="1" applyProtection="1">
      <protection locked="0"/>
    </xf>
    <xf numFmtId="0" fontId="6" fillId="0" borderId="16" xfId="0" applyFont="1" applyBorder="1" applyAlignment="1">
      <alignment horizontal="left"/>
    </xf>
    <xf numFmtId="0" fontId="6" fillId="0" borderId="16" xfId="0" applyFont="1" applyBorder="1"/>
    <xf numFmtId="170" fontId="0" fillId="0" borderId="17" xfId="0" applyNumberFormat="1" applyBorder="1"/>
    <xf numFmtId="171" fontId="0" fillId="0" borderId="17" xfId="0" applyNumberFormat="1" applyBorder="1"/>
    <xf numFmtId="171" fontId="0" fillId="0" borderId="10" xfId="0" applyNumberFormat="1" applyBorder="1"/>
    <xf numFmtId="0" fontId="8" fillId="2" borderId="0" xfId="0" applyFont="1" applyFill="1" applyAlignment="1">
      <alignment vertical="top" wrapText="1"/>
    </xf>
    <xf numFmtId="0" fontId="3" fillId="2" borderId="10" xfId="0" applyFont="1" applyFill="1" applyBorder="1"/>
    <xf numFmtId="2" fontId="3" fillId="2" borderId="10" xfId="0" applyNumberFormat="1" applyFont="1" applyFill="1" applyBorder="1"/>
    <xf numFmtId="0" fontId="3" fillId="0" borderId="10" xfId="0" applyFont="1" applyBorder="1"/>
    <xf numFmtId="0" fontId="3" fillId="0" borderId="12" xfId="0" applyFont="1" applyBorder="1"/>
    <xf numFmtId="0" fontId="3" fillId="2" borderId="12" xfId="0" applyFont="1" applyFill="1" applyBorder="1"/>
    <xf numFmtId="0" fontId="6" fillId="0" borderId="17" xfId="0" applyFont="1" applyBorder="1"/>
    <xf numFmtId="166" fontId="0" fillId="0" borderId="17" xfId="1" applyNumberFormat="1" applyFont="1" applyBorder="1" applyAlignment="1" applyProtection="1"/>
    <xf numFmtId="166" fontId="2" fillId="0" borderId="17" xfId="1" applyNumberFormat="1" applyFont="1" applyBorder="1" applyAlignment="1" applyProtection="1"/>
    <xf numFmtId="164" fontId="8" fillId="2" borderId="10" xfId="1" applyFont="1" applyFill="1" applyBorder="1" applyProtection="1">
      <protection locked="0"/>
    </xf>
    <xf numFmtId="0" fontId="0" fillId="2" borderId="0" xfId="0" applyFill="1"/>
    <xf numFmtId="166" fontId="0" fillId="0" borderId="10" xfId="0" applyNumberFormat="1" applyBorder="1"/>
    <xf numFmtId="164" fontId="0" fillId="0" borderId="0" xfId="1" applyFont="1" applyProtection="1"/>
    <xf numFmtId="166" fontId="6" fillId="0" borderId="0" xfId="1" applyNumberFormat="1" applyFont="1" applyProtection="1"/>
    <xf numFmtId="0" fontId="6" fillId="0" borderId="0" xfId="0" applyFont="1"/>
    <xf numFmtId="166" fontId="8" fillId="2" borderId="0" xfId="1" applyNumberFormat="1" applyFont="1" applyFill="1" applyBorder="1" applyProtection="1"/>
    <xf numFmtId="165" fontId="0" fillId="0" borderId="0" xfId="1" applyNumberFormat="1" applyFont="1"/>
    <xf numFmtId="172" fontId="0" fillId="0" borderId="0" xfId="2" applyNumberFormat="1" applyFont="1" applyProtection="1"/>
    <xf numFmtId="173" fontId="14" fillId="0" borderId="0" xfId="1" applyNumberFormat="1" applyFont="1" applyAlignment="1" applyProtection="1">
      <alignment wrapText="1"/>
    </xf>
    <xf numFmtId="173" fontId="15" fillId="0" borderId="0" xfId="1" applyNumberFormat="1" applyFont="1" applyAlignment="1" applyProtection="1">
      <alignment wrapText="1"/>
    </xf>
    <xf numFmtId="0" fontId="16" fillId="0" borderId="0" xfId="0" applyFont="1"/>
    <xf numFmtId="166" fontId="17" fillId="0" borderId="17" xfId="0" applyNumberFormat="1" applyFont="1" applyBorder="1"/>
    <xf numFmtId="0" fontId="18" fillId="0" borderId="0" xfId="0" applyFont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165" fontId="0" fillId="0" borderId="0" xfId="1" quotePrefix="1" applyNumberFormat="1" applyFont="1"/>
    <xf numFmtId="0" fontId="19" fillId="0" borderId="0" xfId="0" applyFont="1"/>
    <xf numFmtId="0" fontId="0" fillId="4" borderId="0" xfId="0" applyFill="1"/>
    <xf numFmtId="165" fontId="0" fillId="4" borderId="0" xfId="1" applyNumberFormat="1" applyFont="1" applyFill="1"/>
    <xf numFmtId="0" fontId="0" fillId="4" borderId="0" xfId="0" quotePrefix="1" applyFill="1" applyAlignment="1">
      <alignment horizontal="center"/>
    </xf>
    <xf numFmtId="165" fontId="0" fillId="4" borderId="0" xfId="1" quotePrefix="1" applyNumberFormat="1" applyFont="1" applyFill="1"/>
    <xf numFmtId="0" fontId="0" fillId="0" borderId="0" xfId="0" applyAlignment="1">
      <alignment horizontal="right"/>
    </xf>
    <xf numFmtId="0" fontId="13" fillId="0" borderId="0" xfId="0" applyFont="1"/>
    <xf numFmtId="0" fontId="3" fillId="0" borderId="0" xfId="0" applyFont="1"/>
    <xf numFmtId="166" fontId="2" fillId="0" borderId="17" xfId="1" applyNumberFormat="1" applyFont="1" applyBorder="1" applyProtection="1"/>
    <xf numFmtId="22" fontId="0" fillId="0" borderId="0" xfId="0" applyNumberFormat="1" applyAlignment="1">
      <alignment horizontal="center"/>
    </xf>
    <xf numFmtId="165" fontId="0" fillId="0" borderId="17" xfId="0" applyNumberForma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3"/>
    <xf numFmtId="0" fontId="21" fillId="0" borderId="14" xfId="0" applyFont="1" applyBorder="1" applyAlignment="1">
      <alignment horizontal="right"/>
    </xf>
    <xf numFmtId="175" fontId="21" fillId="0" borderId="17" xfId="1" applyNumberFormat="1" applyFont="1" applyBorder="1"/>
  </cellXfs>
  <cellStyles count="4">
    <cellStyle name="Comma" xfId="1" builtinId="3"/>
    <cellStyle name="Hyperlink" xfId="3" builtinId="8"/>
    <cellStyle name="Normal" xfId="0" builtinId="0"/>
    <cellStyle name="Per cent" xfId="2" builtinId="5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82550</xdr:colOff>
      <xdr:row>0</xdr:row>
      <xdr:rowOff>0</xdr:rowOff>
    </xdr:from>
    <xdr:to>
      <xdr:col>11</xdr:col>
      <xdr:colOff>209550</xdr:colOff>
      <xdr:row>3</xdr:row>
      <xdr:rowOff>92075</xdr:rowOff>
    </xdr:to>
    <xdr:pic>
      <xdr:nvPicPr>
        <xdr:cNvPr id="2" name="Picture 1" descr="VF logo_rgb_web_lill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0"/>
          <a:ext cx="1898650" cy="755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1162050</xdr:colOff>
      <xdr:row>4</xdr:row>
      <xdr:rowOff>19050</xdr:rowOff>
    </xdr:to>
    <xdr:pic>
      <xdr:nvPicPr>
        <xdr:cNvPr id="2" name="Picture 1" descr="VF logo_rgb_web_lille">
          <a:extLst>
            <a:ext uri="{FF2B5EF4-FFF2-40B4-BE49-F238E27FC236}">
              <a16:creationId xmlns:a16="http://schemas.microsoft.com/office/drawing/2014/main" id="{DD368060-1E66-4A02-8385-D9BBAE8506A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0"/>
          <a:ext cx="1895475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gasprisguiden.dk/390.html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elpris.dk/" TargetMode="External"/><Relationship Id="rId1" Type="http://schemas.openxmlformats.org/officeDocument/2006/relationships/hyperlink" Target="https://www.bestilfyringsolie.dk/order-page/olietype-olietank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vida.dk/tarifblad010125/" TargetMode="External"/><Relationship Id="rId4" Type="http://schemas.openxmlformats.org/officeDocument/2006/relationships/hyperlink" Target="https://vordingborgforsyning.dk/media/Fjernvarme_Takster_2025.pdf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7"/>
  <sheetViews>
    <sheetView tabSelected="1" workbookViewId="0"/>
  </sheetViews>
  <sheetFormatPr defaultColWidth="9.1796875" defaultRowHeight="14.5" x14ac:dyDescent="0.35"/>
  <cols>
    <col min="1" max="1" width="2" customWidth="1"/>
    <col min="2" max="2" width="67.54296875" customWidth="1"/>
    <col min="3" max="3" width="10.1796875" customWidth="1"/>
    <col min="4" max="4" width="11.54296875" bestFit="1" customWidth="1"/>
    <col min="5" max="5" width="8" bestFit="1" customWidth="1"/>
    <col min="6" max="7" width="4.81640625" bestFit="1" customWidth="1"/>
    <col min="8" max="8" width="2" bestFit="1" customWidth="1"/>
    <col min="9" max="9" width="7.453125" style="51" bestFit="1" customWidth="1"/>
    <col min="10" max="10" width="16" customWidth="1"/>
    <col min="11" max="11" width="9.1796875" bestFit="1" customWidth="1"/>
    <col min="12" max="12" width="6" bestFit="1" customWidth="1"/>
    <col min="13" max="13" width="3.54296875" customWidth="1"/>
    <col min="14" max="14" width="14.81640625" customWidth="1"/>
    <col min="15" max="15" width="14.1796875" customWidth="1"/>
    <col min="16" max="16" width="12.453125" bestFit="1" customWidth="1"/>
    <col min="18" max="18" width="10.54296875" customWidth="1"/>
    <col min="19" max="19" width="12" bestFit="1" customWidth="1"/>
  </cols>
  <sheetData>
    <row r="1" spans="2:23" x14ac:dyDescent="0.35">
      <c r="O1" s="125">
        <f ca="1">NOW()</f>
        <v>45785.51183865741</v>
      </c>
      <c r="P1" s="125"/>
    </row>
    <row r="2" spans="2:23" x14ac:dyDescent="0.35">
      <c r="Q2" s="104"/>
    </row>
    <row r="3" spans="2:23" ht="23.5" x14ac:dyDescent="0.35">
      <c r="B3" s="40" t="s">
        <v>0</v>
      </c>
      <c r="C3" s="40"/>
      <c r="D3" s="108">
        <f>+D7/D6</f>
        <v>0.11333333333333334</v>
      </c>
      <c r="E3" s="109" t="s">
        <v>63</v>
      </c>
      <c r="F3" s="40"/>
      <c r="G3" s="40"/>
      <c r="H3" s="40"/>
      <c r="I3" s="42"/>
      <c r="J3" s="40"/>
      <c r="K3" s="40"/>
      <c r="L3" s="40"/>
      <c r="M3" s="40"/>
    </row>
    <row r="4" spans="2:23" x14ac:dyDescent="0.35">
      <c r="B4" s="90" t="s">
        <v>49</v>
      </c>
      <c r="C4" s="58"/>
      <c r="D4" s="41"/>
      <c r="E4" s="41"/>
      <c r="F4" s="41"/>
      <c r="G4" s="41"/>
      <c r="H4" s="41"/>
      <c r="I4" s="43"/>
      <c r="J4" s="41"/>
      <c r="K4" s="41"/>
      <c r="L4" s="41"/>
      <c r="M4" s="41"/>
    </row>
    <row r="5" spans="2:23" x14ac:dyDescent="0.35">
      <c r="B5" s="127" t="s">
        <v>21</v>
      </c>
      <c r="C5" s="128"/>
      <c r="D5" s="128"/>
      <c r="E5" s="128"/>
      <c r="F5" s="128"/>
      <c r="G5" s="128"/>
      <c r="H5" s="128"/>
      <c r="I5" s="128"/>
      <c r="J5" s="128"/>
      <c r="K5" s="128"/>
      <c r="L5" s="129"/>
      <c r="O5" s="100"/>
    </row>
    <row r="6" spans="2:23" ht="16.5" x14ac:dyDescent="0.35">
      <c r="B6" s="9" t="s">
        <v>22</v>
      </c>
      <c r="C6" s="8"/>
      <c r="D6" s="99">
        <v>135</v>
      </c>
      <c r="E6" s="8" t="s">
        <v>2</v>
      </c>
      <c r="F6" s="56" t="s">
        <v>31</v>
      </c>
      <c r="G6" s="91" t="s">
        <v>33</v>
      </c>
      <c r="H6" s="91"/>
      <c r="I6" s="92"/>
      <c r="J6" s="91"/>
      <c r="K6" s="93"/>
      <c r="L6" s="94"/>
    </row>
    <row r="7" spans="2:23" x14ac:dyDescent="0.35">
      <c r="B7" s="9" t="s">
        <v>32</v>
      </c>
      <c r="C7" s="8"/>
      <c r="D7" s="99">
        <v>15.3</v>
      </c>
      <c r="E7" s="8" t="s">
        <v>1</v>
      </c>
      <c r="F7" s="56" t="s">
        <v>31</v>
      </c>
      <c r="G7" s="91" t="s">
        <v>50</v>
      </c>
      <c r="H7" s="91"/>
      <c r="I7" s="92"/>
      <c r="J7" s="91"/>
      <c r="K7" s="91"/>
      <c r="L7" s="95"/>
    </row>
    <row r="8" spans="2:23" x14ac:dyDescent="0.35">
      <c r="B8" s="9" t="s">
        <v>28</v>
      </c>
      <c r="C8" s="8"/>
      <c r="D8" s="64">
        <f>D7*100</f>
        <v>1530</v>
      </c>
      <c r="E8" s="8" t="s">
        <v>30</v>
      </c>
      <c r="F8" s="8"/>
      <c r="G8" s="91" t="s">
        <v>51</v>
      </c>
      <c r="H8" s="91"/>
      <c r="I8" s="92"/>
      <c r="J8" s="91"/>
      <c r="K8" s="91"/>
      <c r="L8" s="95"/>
    </row>
    <row r="9" spans="2:23" ht="16.5" x14ac:dyDescent="0.35">
      <c r="B9" s="9" t="s">
        <v>29</v>
      </c>
      <c r="C9" s="8"/>
      <c r="D9" s="64">
        <f>D7/11*1000</f>
        <v>1390.9090909090908</v>
      </c>
      <c r="E9" s="8" t="s">
        <v>53</v>
      </c>
      <c r="F9" s="8"/>
      <c r="G9" s="8"/>
      <c r="H9" s="8"/>
      <c r="I9" s="44"/>
      <c r="J9" s="8"/>
      <c r="K9" s="8"/>
      <c r="L9" s="10"/>
      <c r="W9" s="102"/>
    </row>
    <row r="10" spans="2:23" x14ac:dyDescent="0.35">
      <c r="B10" s="57" t="str">
        <f>"Varmepumpe Luft til Væske m/ COP = "&amp;C10&amp;", (1MWh = 1000 kWh)"</f>
        <v>Varmepumpe Luft til Væske m/ COP = 3,15, (1MWh = 1000 kWh)</v>
      </c>
      <c r="C10" s="99">
        <v>3.15</v>
      </c>
      <c r="D10" s="65">
        <f>D7/C10*1000</f>
        <v>4857.1428571428578</v>
      </c>
      <c r="E10" t="s">
        <v>54</v>
      </c>
      <c r="L10" s="1"/>
      <c r="W10" s="102"/>
    </row>
    <row r="11" spans="2:23" x14ac:dyDescent="0.35">
      <c r="B11" s="54" t="s">
        <v>38</v>
      </c>
      <c r="C11" s="3"/>
      <c r="D11" s="66">
        <f>D7*1000</f>
        <v>15300</v>
      </c>
      <c r="E11" s="3" t="s">
        <v>54</v>
      </c>
      <c r="F11" s="3"/>
      <c r="G11" s="3"/>
      <c r="H11" s="3"/>
      <c r="I11" s="45"/>
      <c r="J11" s="3"/>
      <c r="K11" s="3"/>
      <c r="L11" s="4"/>
      <c r="W11" s="102"/>
    </row>
    <row r="13" spans="2:23" x14ac:dyDescent="0.35">
      <c r="B13" s="127" t="s">
        <v>46</v>
      </c>
      <c r="C13" s="128"/>
      <c r="D13" s="128"/>
      <c r="E13" s="128"/>
      <c r="F13" s="128"/>
      <c r="G13" s="128"/>
      <c r="H13" s="128"/>
      <c r="I13" s="128"/>
      <c r="J13" s="128"/>
      <c r="K13" s="128"/>
      <c r="L13" s="129"/>
      <c r="N13" s="122" t="s">
        <v>79</v>
      </c>
      <c r="O13" s="123" t="s">
        <v>78</v>
      </c>
      <c r="U13" s="112"/>
      <c r="V13" s="112"/>
    </row>
    <row r="14" spans="2:23" x14ac:dyDescent="0.35">
      <c r="B14" s="11" t="s">
        <v>15</v>
      </c>
      <c r="C14" s="14"/>
      <c r="D14" s="12">
        <f>D7</f>
        <v>15.3</v>
      </c>
      <c r="E14" s="61" t="s">
        <v>1</v>
      </c>
      <c r="F14" s="14"/>
      <c r="G14" s="14"/>
      <c r="H14" s="62" t="s">
        <v>3</v>
      </c>
      <c r="I14" s="67">
        <v>696</v>
      </c>
      <c r="J14" s="62" t="s">
        <v>4</v>
      </c>
      <c r="K14" s="15">
        <f>I14*D14</f>
        <v>10648.800000000001</v>
      </c>
      <c r="L14" s="16" t="s">
        <v>5</v>
      </c>
      <c r="O14" s="63" t="s">
        <v>86</v>
      </c>
      <c r="Q14" s="60"/>
      <c r="W14" s="107"/>
    </row>
    <row r="15" spans="2:23" ht="16.5" x14ac:dyDescent="0.35">
      <c r="B15" s="9" t="str">
        <f>"Kubikmeter Gennemstrøm v/ "&amp;C15&amp;" gr. afkøling"</f>
        <v>Kubikmeter Gennemstrøm v/ 30 gr. afkøling</v>
      </c>
      <c r="C15" s="73">
        <v>30</v>
      </c>
      <c r="D15" s="59">
        <f>+D14*860/C15</f>
        <v>438.6</v>
      </c>
      <c r="E15" s="8" t="s">
        <v>35</v>
      </c>
      <c r="F15" s="8"/>
      <c r="G15" s="8"/>
      <c r="H15" t="s">
        <v>3</v>
      </c>
      <c r="I15" s="68">
        <v>1.2</v>
      </c>
      <c r="J15" s="8" t="s">
        <v>34</v>
      </c>
      <c r="K15" s="38">
        <f>I15*D15</f>
        <v>526.32000000000005</v>
      </c>
      <c r="L15" s="19" t="s">
        <v>5</v>
      </c>
      <c r="Q15" s="60"/>
      <c r="W15" s="107"/>
    </row>
    <row r="16" spans="2:23" ht="16.5" x14ac:dyDescent="0.35">
      <c r="B16" s="17" t="s">
        <v>27</v>
      </c>
      <c r="C16" s="18"/>
      <c r="D16" s="18"/>
      <c r="E16" s="24"/>
      <c r="F16" s="22">
        <f>D6</f>
        <v>135</v>
      </c>
      <c r="G16" s="18" t="s">
        <v>2</v>
      </c>
      <c r="H16" s="8" t="s">
        <v>3</v>
      </c>
      <c r="I16" s="69">
        <v>12</v>
      </c>
      <c r="J16" s="8" t="s">
        <v>6</v>
      </c>
      <c r="K16" s="38">
        <f>I16*F16</f>
        <v>1620</v>
      </c>
      <c r="L16" s="19" t="s">
        <v>5</v>
      </c>
      <c r="O16" t="s">
        <v>39</v>
      </c>
      <c r="P16" s="75">
        <v>30000</v>
      </c>
      <c r="Q16" t="s">
        <v>40</v>
      </c>
      <c r="R16" t="s">
        <v>47</v>
      </c>
      <c r="W16" s="107"/>
    </row>
    <row r="17" spans="2:23" x14ac:dyDescent="0.35">
      <c r="B17" s="17" t="s">
        <v>37</v>
      </c>
      <c r="C17" s="18"/>
      <c r="D17" s="18"/>
      <c r="E17" s="18"/>
      <c r="F17" s="18"/>
      <c r="G17" s="18"/>
      <c r="H17" s="18"/>
      <c r="I17" s="48"/>
      <c r="J17" s="18"/>
      <c r="K17" s="105">
        <v>1664</v>
      </c>
      <c r="L17" s="19" t="s">
        <v>5</v>
      </c>
      <c r="P17" s="75">
        <v>15</v>
      </c>
      <c r="Q17" t="s">
        <v>20</v>
      </c>
      <c r="W17" s="107"/>
    </row>
    <row r="18" spans="2:23" x14ac:dyDescent="0.35">
      <c r="B18" s="9" t="s">
        <v>8</v>
      </c>
      <c r="C18" s="8"/>
      <c r="D18" s="8"/>
      <c r="E18" s="8"/>
      <c r="F18" s="8"/>
      <c r="G18" s="8"/>
      <c r="H18" s="8"/>
      <c r="I18" s="44"/>
      <c r="J18" s="8"/>
      <c r="K18" s="15">
        <f>SUM(K14:K17)</f>
        <v>14459.12</v>
      </c>
      <c r="L18" s="10" t="s">
        <v>5</v>
      </c>
      <c r="P18" s="76">
        <v>0.05</v>
      </c>
      <c r="Q18" t="s">
        <v>44</v>
      </c>
    </row>
    <row r="19" spans="2:23" x14ac:dyDescent="0.35">
      <c r="B19" s="17" t="s">
        <v>7</v>
      </c>
      <c r="C19" s="18"/>
      <c r="D19" s="18"/>
      <c r="E19" s="18"/>
      <c r="F19" s="18"/>
      <c r="G19" s="18"/>
      <c r="H19" s="18"/>
      <c r="I19" s="48"/>
      <c r="J19" s="18"/>
      <c r="K19" s="2">
        <f>K18*0.25</f>
        <v>3614.78</v>
      </c>
      <c r="L19" s="1" t="s">
        <v>5</v>
      </c>
    </row>
    <row r="20" spans="2:23" ht="19" thickBot="1" x14ac:dyDescent="0.5">
      <c r="B20" s="27" t="s">
        <v>9</v>
      </c>
      <c r="C20" s="29"/>
      <c r="D20" s="29"/>
      <c r="E20" s="29"/>
      <c r="F20" s="29"/>
      <c r="G20" s="29"/>
      <c r="H20" s="29"/>
      <c r="I20" s="49"/>
      <c r="J20" s="29"/>
      <c r="K20" s="6">
        <f>K19+K18</f>
        <v>18073.900000000001</v>
      </c>
      <c r="L20" s="35" t="s">
        <v>5</v>
      </c>
      <c r="O20" t="s">
        <v>42</v>
      </c>
      <c r="P20" s="83">
        <f>-PMT(P18,P17,P16)</f>
        <v>2890.2686282773311</v>
      </c>
      <c r="Q20" t="s">
        <v>41</v>
      </c>
      <c r="S20" s="78">
        <f>+P20+K20</f>
        <v>20964.168628277333</v>
      </c>
      <c r="T20" t="s">
        <v>43</v>
      </c>
    </row>
    <row r="21" spans="2:23" ht="3" customHeight="1" thickTop="1" x14ac:dyDescent="0.35">
      <c r="B21" s="31"/>
      <c r="C21" s="32"/>
      <c r="D21" s="32"/>
      <c r="E21" s="32"/>
      <c r="F21" s="32"/>
      <c r="G21" s="32"/>
      <c r="H21" s="32"/>
      <c r="I21" s="50"/>
      <c r="J21" s="32"/>
      <c r="K21" s="33"/>
      <c r="L21" s="34"/>
    </row>
    <row r="22" spans="2:23" x14ac:dyDescent="0.35">
      <c r="B22" s="3"/>
    </row>
    <row r="23" spans="2:23" ht="17.25" customHeight="1" x14ac:dyDescent="0.35">
      <c r="B23" s="127" t="s">
        <v>45</v>
      </c>
      <c r="C23" s="128"/>
      <c r="D23" s="128"/>
      <c r="E23" s="128"/>
      <c r="F23" s="128"/>
      <c r="G23" s="128"/>
      <c r="H23" s="128"/>
      <c r="I23" s="128"/>
      <c r="J23" s="128"/>
      <c r="K23" s="128"/>
      <c r="L23" s="129"/>
    </row>
    <row r="24" spans="2:23" ht="17.25" customHeight="1" x14ac:dyDescent="0.35">
      <c r="B24" s="11" t="str">
        <f>B65</f>
        <v>Varmeforbrug standardhus</v>
      </c>
      <c r="C24" s="131"/>
      <c r="D24" s="13">
        <f>D7</f>
        <v>15.3</v>
      </c>
      <c r="E24" s="13" t="str">
        <f>E65</f>
        <v>[MWh]</v>
      </c>
      <c r="F24" s="14"/>
      <c r="G24" s="14"/>
      <c r="H24" s="14"/>
      <c r="I24" s="52"/>
      <c r="J24" s="14"/>
      <c r="K24" s="14"/>
      <c r="L24" s="16"/>
    </row>
    <row r="25" spans="2:23" ht="17.25" customHeight="1" x14ac:dyDescent="0.35">
      <c r="B25" s="86" t="s">
        <v>90</v>
      </c>
      <c r="C25" s="132"/>
      <c r="D25" s="70">
        <v>2051.44</v>
      </c>
      <c r="E25" s="8" t="s">
        <v>57</v>
      </c>
      <c r="F25" s="97" t="s">
        <v>52</v>
      </c>
      <c r="G25" s="98"/>
      <c r="H25" s="8"/>
      <c r="I25" s="47">
        <f>+D25/1.25</f>
        <v>1641.152</v>
      </c>
      <c r="J25" s="8" t="s">
        <v>58</v>
      </c>
      <c r="K25" s="101">
        <f>+I25</f>
        <v>1641.152</v>
      </c>
      <c r="L25" s="10"/>
      <c r="O25" s="130" t="s">
        <v>89</v>
      </c>
    </row>
    <row r="26" spans="2:23" ht="17.25" customHeight="1" x14ac:dyDescent="0.35">
      <c r="B26" s="86" t="s">
        <v>81</v>
      </c>
      <c r="C26" s="132"/>
      <c r="D26" s="70">
        <v>228</v>
      </c>
      <c r="E26" s="8" t="s">
        <v>57</v>
      </c>
      <c r="F26" s="97" t="s">
        <v>52</v>
      </c>
      <c r="G26" s="98"/>
      <c r="H26" s="8"/>
      <c r="I26" s="47">
        <f>+D26/1.25</f>
        <v>182.4</v>
      </c>
      <c r="J26" s="8" t="s">
        <v>58</v>
      </c>
      <c r="K26" s="101">
        <f>+I26</f>
        <v>182.4</v>
      </c>
      <c r="L26" s="10"/>
      <c r="O26" s="63" t="s">
        <v>64</v>
      </c>
    </row>
    <row r="27" spans="2:23" ht="17.25" customHeight="1" x14ac:dyDescent="0.35">
      <c r="B27" s="86" t="s">
        <v>82</v>
      </c>
      <c r="C27" s="132"/>
      <c r="D27" s="70">
        <f>-D28+11.16</f>
        <v>4.37</v>
      </c>
      <c r="E27" s="8" t="s">
        <v>34</v>
      </c>
      <c r="F27" s="97" t="s">
        <v>52</v>
      </c>
      <c r="G27" s="98"/>
      <c r="H27" s="8"/>
      <c r="I27" s="47"/>
      <c r="J27" s="8"/>
      <c r="K27" s="101"/>
      <c r="L27" s="10"/>
      <c r="O27" s="63"/>
    </row>
    <row r="28" spans="2:23" ht="17.25" customHeight="1" x14ac:dyDescent="0.35">
      <c r="B28" s="86" t="s">
        <v>83</v>
      </c>
      <c r="C28" s="132"/>
      <c r="D28" s="70">
        <v>6.79</v>
      </c>
      <c r="E28" s="8" t="s">
        <v>34</v>
      </c>
      <c r="F28" s="97" t="s">
        <v>52</v>
      </c>
      <c r="G28" s="98"/>
      <c r="H28" s="98"/>
      <c r="I28" s="48"/>
      <c r="J28" s="18"/>
      <c r="K28" s="18"/>
      <c r="L28" s="19"/>
    </row>
    <row r="29" spans="2:23" ht="17.25" customHeight="1" x14ac:dyDescent="0.35">
      <c r="B29" s="17" t="s">
        <v>26</v>
      </c>
      <c r="C29" s="18"/>
      <c r="D29" s="87">
        <f>D9</f>
        <v>1390.9090909090908</v>
      </c>
      <c r="E29" s="18" t="s">
        <v>35</v>
      </c>
      <c r="F29" s="18"/>
      <c r="G29" s="18"/>
      <c r="H29" s="18" t="s">
        <v>3</v>
      </c>
      <c r="I29" s="47">
        <f>+(D28+D27)/1.25</f>
        <v>8.9280000000000008</v>
      </c>
      <c r="J29" s="8" t="s">
        <v>80</v>
      </c>
      <c r="K29" s="38">
        <f>I29*D29</f>
        <v>12418.036363636364</v>
      </c>
      <c r="L29" s="19" t="s">
        <v>5</v>
      </c>
      <c r="O29" t="s">
        <v>39</v>
      </c>
      <c r="P29" s="75">
        <v>60000</v>
      </c>
      <c r="Q29" t="s">
        <v>40</v>
      </c>
      <c r="R29" t="s">
        <v>47</v>
      </c>
    </row>
    <row r="30" spans="2:23" ht="17.25" customHeight="1" x14ac:dyDescent="0.35">
      <c r="B30" s="17" t="s">
        <v>59</v>
      </c>
      <c r="C30" s="18"/>
      <c r="D30" s="18"/>
      <c r="E30" s="18"/>
      <c r="F30" s="18"/>
      <c r="G30" s="18"/>
      <c r="H30" s="18"/>
      <c r="I30" s="48"/>
      <c r="J30" s="18"/>
      <c r="K30" s="71">
        <v>1800</v>
      </c>
      <c r="L30" s="19" t="s">
        <v>5</v>
      </c>
      <c r="P30" s="75">
        <v>15</v>
      </c>
      <c r="Q30" t="s">
        <v>20</v>
      </c>
    </row>
    <row r="31" spans="2:23" ht="17.25" customHeight="1" x14ac:dyDescent="0.35">
      <c r="B31" s="9" t="s">
        <v>8</v>
      </c>
      <c r="C31" s="8"/>
      <c r="D31" s="18"/>
      <c r="E31" s="18"/>
      <c r="F31" s="18"/>
      <c r="G31" s="18"/>
      <c r="H31" s="18"/>
      <c r="I31" s="48"/>
      <c r="J31" s="18"/>
      <c r="K31" s="15">
        <f>SUM(K24:K30)</f>
        <v>16041.588363636363</v>
      </c>
      <c r="L31" s="19" t="s">
        <v>5</v>
      </c>
      <c r="P31" s="76">
        <v>0.05</v>
      </c>
      <c r="Q31" t="s">
        <v>44</v>
      </c>
    </row>
    <row r="32" spans="2:23" ht="17.25" customHeight="1" x14ac:dyDescent="0.35">
      <c r="B32" s="17" t="s">
        <v>7</v>
      </c>
      <c r="C32" s="18"/>
      <c r="D32" s="18"/>
      <c r="E32" s="18"/>
      <c r="F32" s="18"/>
      <c r="G32" s="18"/>
      <c r="H32" s="18"/>
      <c r="I32" s="48"/>
      <c r="J32" s="18"/>
      <c r="K32" s="2">
        <f>K31*0.25</f>
        <v>4010.3970909090908</v>
      </c>
      <c r="L32" s="1" t="s">
        <v>5</v>
      </c>
    </row>
    <row r="33" spans="1:20" ht="17.25" customHeight="1" thickBot="1" x14ac:dyDescent="0.5">
      <c r="B33" s="27" t="s">
        <v>9</v>
      </c>
      <c r="K33" s="6">
        <f>K32+K31</f>
        <v>20051.985454545455</v>
      </c>
      <c r="L33" s="35" t="s">
        <v>5</v>
      </c>
      <c r="M33" s="30"/>
      <c r="O33" t="s">
        <v>42</v>
      </c>
      <c r="P33" s="83">
        <f>-PMT(P31,P30,P29)</f>
        <v>5780.5372565546622</v>
      </c>
      <c r="Q33" t="s">
        <v>41</v>
      </c>
      <c r="S33" s="78">
        <f>+P33+K33</f>
        <v>25832.522711100115</v>
      </c>
      <c r="T33" t="s">
        <v>43</v>
      </c>
    </row>
    <row r="34" spans="1:20" ht="15" thickTop="1" x14ac:dyDescent="0.35">
      <c r="A34" s="36"/>
      <c r="B34" s="32"/>
      <c r="C34" s="32"/>
      <c r="D34" s="32"/>
      <c r="E34" s="32"/>
      <c r="F34" s="32"/>
      <c r="G34" s="32"/>
      <c r="H34" s="32"/>
      <c r="I34" s="50"/>
      <c r="J34" s="32"/>
      <c r="K34" s="32"/>
      <c r="L34" s="34"/>
      <c r="M34" s="30"/>
      <c r="S34" s="77"/>
    </row>
    <row r="35" spans="1:20" x14ac:dyDescent="0.35">
      <c r="B35" s="3"/>
    </row>
    <row r="36" spans="1:20" x14ac:dyDescent="0.35">
      <c r="B36" s="127" t="str">
        <f>"Standard Varmepumpeopvarmet hus : Luft til Væske med COP effekt = "&amp;C10&amp;" (EL)"</f>
        <v>Standard Varmepumpeopvarmet hus : Luft til Væske med COP effekt = 3,15 (EL)</v>
      </c>
      <c r="C36" s="128"/>
      <c r="D36" s="128"/>
      <c r="E36" s="128"/>
      <c r="F36" s="128"/>
      <c r="G36" s="128"/>
      <c r="H36" s="128"/>
      <c r="I36" s="128"/>
      <c r="J36" s="128"/>
      <c r="K36" s="128"/>
      <c r="L36" s="129"/>
    </row>
    <row r="37" spans="1:20" x14ac:dyDescent="0.35">
      <c r="B37" s="11" t="str">
        <f>B50</f>
        <v>Varmeforbrug standardhus</v>
      </c>
      <c r="C37" s="14"/>
      <c r="D37" s="13">
        <f>D7</f>
        <v>15.3</v>
      </c>
      <c r="E37" s="13" t="s">
        <v>1</v>
      </c>
      <c r="F37" s="14"/>
      <c r="G37" s="14"/>
      <c r="H37" s="14"/>
      <c r="I37" s="46"/>
      <c r="J37" s="14"/>
      <c r="K37" s="15"/>
      <c r="L37" s="16"/>
    </row>
    <row r="38" spans="1:20" x14ac:dyDescent="0.35">
      <c r="B38" s="85" t="s">
        <v>84</v>
      </c>
      <c r="C38" s="18"/>
      <c r="D38" s="72">
        <v>267.37</v>
      </c>
      <c r="E38" s="126" t="s">
        <v>25</v>
      </c>
      <c r="F38" s="126"/>
      <c r="G38" s="126"/>
      <c r="H38" s="126"/>
      <c r="I38" s="126"/>
      <c r="J38" s="18"/>
      <c r="K38" s="22"/>
      <c r="L38" s="19"/>
      <c r="O38" s="63" t="s">
        <v>48</v>
      </c>
      <c r="Q38" s="110"/>
    </row>
    <row r="39" spans="1:20" x14ac:dyDescent="0.35">
      <c r="B39" s="85" t="s">
        <v>85</v>
      </c>
      <c r="C39" s="18"/>
      <c r="D39" s="72">
        <f>12*80.04</f>
        <v>960.48</v>
      </c>
      <c r="E39" s="126" t="s">
        <v>65</v>
      </c>
      <c r="F39" s="126"/>
      <c r="G39" s="126"/>
      <c r="H39" s="126"/>
      <c r="I39" s="126"/>
      <c r="J39" s="18"/>
      <c r="K39" s="111">
        <f>+D39</f>
        <v>960.48</v>
      </c>
      <c r="L39" s="19"/>
      <c r="O39" s="63"/>
    </row>
    <row r="40" spans="1:20" x14ac:dyDescent="0.35">
      <c r="B40" s="17" t="s">
        <v>16</v>
      </c>
      <c r="C40" s="18"/>
      <c r="D40" s="88">
        <f>D10</f>
        <v>4857.1428571428578</v>
      </c>
      <c r="E40" s="39" t="s">
        <v>17</v>
      </c>
      <c r="F40" s="18"/>
      <c r="G40" s="18"/>
      <c r="H40" s="18" t="s">
        <v>3</v>
      </c>
      <c r="I40" s="47">
        <f>D38/1.25</f>
        <v>213.89600000000002</v>
      </c>
      <c r="J40" s="18" t="s">
        <v>18</v>
      </c>
      <c r="K40" s="38">
        <f>I40*D40/100</f>
        <v>10389.234285714287</v>
      </c>
      <c r="L40" s="19" t="s">
        <v>5</v>
      </c>
    </row>
    <row r="41" spans="1:20" x14ac:dyDescent="0.35">
      <c r="B41" s="17" t="str">
        <f>B55</f>
        <v xml:space="preserve">Reduktion af el-afgift for forbrug over </v>
      </c>
      <c r="C41" s="18"/>
      <c r="D41" s="18"/>
      <c r="E41" s="18"/>
      <c r="F41" s="18"/>
      <c r="G41" s="18"/>
      <c r="H41" s="18"/>
      <c r="I41" s="47"/>
      <c r="J41" s="18"/>
      <c r="K41" s="38"/>
      <c r="L41" s="19" t="s">
        <v>5</v>
      </c>
      <c r="P41" s="75">
        <v>1500</v>
      </c>
      <c r="Q41" t="s">
        <v>55</v>
      </c>
      <c r="R41" t="s">
        <v>56</v>
      </c>
    </row>
    <row r="42" spans="1:20" x14ac:dyDescent="0.35">
      <c r="B42" s="21" t="str">
        <f>"4.000 kWh "&amp;-I42&amp;" [øre/kWh] ekskl. moms (NB! inkl. : "&amp;TEXT(P41,"0.000")&amp;" kWh øvrigt EL-forbrug)"</f>
        <v>4.000 kWh 71,2 [øre/kWh] ekskl. moms (NB! inkl. : 1.500 kWh øvrigt EL-forbrug)</v>
      </c>
      <c r="C42" s="82"/>
      <c r="D42" s="88">
        <f>MAX(D40+P41-4000,0)</f>
        <v>2357.1428571428578</v>
      </c>
      <c r="E42" s="18"/>
      <c r="F42" s="18"/>
      <c r="G42" s="18"/>
      <c r="H42" s="18" t="s">
        <v>3</v>
      </c>
      <c r="I42" s="74">
        <f>-89/1.25</f>
        <v>-71.2</v>
      </c>
      <c r="J42" s="18" t="s">
        <v>18</v>
      </c>
      <c r="K42" s="38">
        <f>I42*D42/100</f>
        <v>-1678.2857142857147</v>
      </c>
      <c r="L42" s="19" t="s">
        <v>5</v>
      </c>
    </row>
    <row r="43" spans="1:20" x14ac:dyDescent="0.35">
      <c r="B43" s="17"/>
      <c r="C43" s="18"/>
      <c r="D43" s="28"/>
      <c r="E43" s="18"/>
      <c r="F43" s="18"/>
      <c r="G43" s="18"/>
      <c r="H43" s="18"/>
      <c r="I43" s="47"/>
      <c r="J43" s="18"/>
      <c r="K43" s="38"/>
      <c r="L43" s="19"/>
      <c r="O43" t="s">
        <v>39</v>
      </c>
      <c r="P43" s="75">
        <v>135000</v>
      </c>
      <c r="Q43" t="s">
        <v>40</v>
      </c>
      <c r="R43" t="s">
        <v>47</v>
      </c>
    </row>
    <row r="44" spans="1:20" x14ac:dyDescent="0.35">
      <c r="B44" s="17" t="s">
        <v>19</v>
      </c>
      <c r="C44" s="18"/>
      <c r="D44" s="96"/>
      <c r="E44" s="18"/>
      <c r="F44" s="18"/>
      <c r="G44" s="18"/>
      <c r="H44" s="18"/>
      <c r="I44" s="47"/>
      <c r="J44" s="18"/>
      <c r="K44" s="71">
        <f>2400</f>
        <v>2400</v>
      </c>
      <c r="L44" s="19" t="s">
        <v>5</v>
      </c>
      <c r="P44" s="75">
        <v>15</v>
      </c>
      <c r="Q44" t="s">
        <v>20</v>
      </c>
    </row>
    <row r="45" spans="1:20" x14ac:dyDescent="0.35">
      <c r="B45" s="9" t="s">
        <v>8</v>
      </c>
      <c r="C45" s="8"/>
      <c r="D45" s="8"/>
      <c r="E45" s="8"/>
      <c r="F45" s="8"/>
      <c r="G45" s="8"/>
      <c r="H45" s="8"/>
      <c r="I45" s="44"/>
      <c r="J45" s="8"/>
      <c r="K45" s="15">
        <f>SUM(K37:K44)</f>
        <v>12071.428571428572</v>
      </c>
      <c r="L45" s="19" t="s">
        <v>5</v>
      </c>
      <c r="P45" s="76">
        <v>0.05</v>
      </c>
      <c r="Q45" t="s">
        <v>44</v>
      </c>
    </row>
    <row r="46" spans="1:20" x14ac:dyDescent="0.35">
      <c r="B46" s="17" t="s">
        <v>7</v>
      </c>
      <c r="C46" s="18"/>
      <c r="D46" s="18"/>
      <c r="E46" s="18"/>
      <c r="F46" s="18"/>
      <c r="G46" s="18"/>
      <c r="H46" s="18"/>
      <c r="I46" s="48"/>
      <c r="J46" s="18"/>
      <c r="K46" s="2">
        <f>K45*0.25</f>
        <v>3017.8571428571431</v>
      </c>
      <c r="L46" s="1" t="s">
        <v>5</v>
      </c>
    </row>
    <row r="47" spans="1:20" ht="19" thickBot="1" x14ac:dyDescent="0.5">
      <c r="B47" s="27" t="s">
        <v>9</v>
      </c>
      <c r="C47" s="29"/>
      <c r="D47" s="29"/>
      <c r="E47" s="29"/>
      <c r="F47" s="29"/>
      <c r="G47" s="29"/>
      <c r="H47" s="29"/>
      <c r="I47" s="49"/>
      <c r="J47" s="29"/>
      <c r="K47" s="6">
        <f>K46+K45</f>
        <v>15089.285714285716</v>
      </c>
      <c r="L47" s="35" t="s">
        <v>5</v>
      </c>
      <c r="O47" t="s">
        <v>42</v>
      </c>
      <c r="P47" s="83">
        <f>-PMT(P45,P44,P43)</f>
        <v>13006.20882724799</v>
      </c>
      <c r="Q47" t="s">
        <v>41</v>
      </c>
      <c r="S47" s="78">
        <f>+P47+K47</f>
        <v>28095.494541533706</v>
      </c>
      <c r="T47" t="s">
        <v>43</v>
      </c>
    </row>
    <row r="48" spans="1:20" ht="15" thickTop="1" x14ac:dyDescent="0.35"/>
    <row r="49" spans="2:17" x14ac:dyDescent="0.35">
      <c r="B49" s="127" t="s">
        <v>88</v>
      </c>
      <c r="C49" s="128"/>
      <c r="D49" s="128"/>
      <c r="E49" s="128"/>
      <c r="F49" s="128"/>
      <c r="G49" s="128"/>
      <c r="H49" s="128"/>
      <c r="I49" s="128"/>
      <c r="J49" s="128"/>
      <c r="K49" s="128"/>
      <c r="L49" s="129"/>
    </row>
    <row r="50" spans="2:17" x14ac:dyDescent="0.35">
      <c r="B50" s="20" t="str">
        <f>B14</f>
        <v>Varmeforbrug standardhus</v>
      </c>
      <c r="C50" s="79"/>
      <c r="D50" s="13">
        <f>D7</f>
        <v>15.3</v>
      </c>
      <c r="E50" s="13" t="str">
        <f>E14</f>
        <v>[MWh]</v>
      </c>
      <c r="F50" s="13"/>
      <c r="G50" s="14"/>
      <c r="H50" s="14"/>
      <c r="I50" s="52"/>
      <c r="J50" s="14"/>
      <c r="K50" s="14"/>
      <c r="L50" s="16"/>
    </row>
    <row r="51" spans="2:17" x14ac:dyDescent="0.35">
      <c r="B51" s="21"/>
      <c r="C51" s="80"/>
      <c r="D51" s="5"/>
      <c r="E51" s="39"/>
      <c r="F51" s="18"/>
      <c r="G51" s="18"/>
      <c r="H51" s="18"/>
      <c r="I51" s="47"/>
      <c r="J51" s="18"/>
      <c r="K51" s="38"/>
      <c r="L51" s="19"/>
    </row>
    <row r="52" spans="2:17" x14ac:dyDescent="0.35">
      <c r="B52" s="21" t="str">
        <f>+B38</f>
        <v>Pris er fra andel FastEnergi12 , Fast pris-aftale 6 mdr. på elpris.dk (07.05.2025) 6000 kWh+</v>
      </c>
      <c r="C52" s="80"/>
      <c r="D52" s="84">
        <f>+D38</f>
        <v>267.37</v>
      </c>
      <c r="E52" s="126" t="s">
        <v>25</v>
      </c>
      <c r="F52" s="126"/>
      <c r="G52" s="126"/>
      <c r="H52" s="126"/>
      <c r="I52" s="126"/>
      <c r="J52" s="18"/>
      <c r="K52" s="22"/>
      <c r="L52" s="19"/>
      <c r="O52" s="63"/>
    </row>
    <row r="53" spans="2:17" x14ac:dyDescent="0.35">
      <c r="B53" s="21" t="str">
        <f>+B39</f>
        <v>Pris er fra andel FastEnergi12 , Fast pris-aftale 6 mdr. Abonnement (07.05.2025)</v>
      </c>
      <c r="C53" s="80"/>
      <c r="D53" s="84">
        <f>+D39</f>
        <v>960.48</v>
      </c>
      <c r="E53" s="126" t="s">
        <v>65</v>
      </c>
      <c r="F53" s="126"/>
      <c r="G53" s="126"/>
      <c r="H53" s="126"/>
      <c r="I53" s="126"/>
      <c r="J53" s="18"/>
      <c r="K53" s="111">
        <f>+D53</f>
        <v>960.48</v>
      </c>
      <c r="L53" s="19"/>
      <c r="O53" s="63"/>
      <c r="Q53" s="110"/>
    </row>
    <row r="54" spans="2:17" x14ac:dyDescent="0.35">
      <c r="B54" s="23" t="s">
        <v>16</v>
      </c>
      <c r="C54" s="81"/>
      <c r="D54" s="89">
        <f>D50*1000</f>
        <v>15300</v>
      </c>
      <c r="E54" s="24" t="s">
        <v>17</v>
      </c>
      <c r="F54" s="8"/>
      <c r="G54" s="8"/>
      <c r="H54" s="8" t="s">
        <v>3</v>
      </c>
      <c r="I54" s="53">
        <f>D52/1.25</f>
        <v>213.89600000000002</v>
      </c>
      <c r="J54" s="8" t="s">
        <v>18</v>
      </c>
      <c r="K54" s="25">
        <f>I54*D54/100</f>
        <v>32726.088000000003</v>
      </c>
      <c r="L54" s="10" t="s">
        <v>5</v>
      </c>
    </row>
    <row r="55" spans="2:17" x14ac:dyDescent="0.35">
      <c r="B55" s="21" t="s">
        <v>14</v>
      </c>
      <c r="C55" s="82"/>
      <c r="D55" s="18"/>
      <c r="E55" s="18"/>
      <c r="F55" s="18"/>
      <c r="G55" s="18"/>
      <c r="H55" s="18"/>
      <c r="I55" s="48"/>
      <c r="J55" s="18"/>
      <c r="K55" s="22"/>
      <c r="L55" s="19"/>
    </row>
    <row r="56" spans="2:17" x14ac:dyDescent="0.35">
      <c r="B56" s="21" t="str">
        <f>"4.000 kWh "&amp;-I42&amp;" [øre/kWh] ekskl. moms (NB! inkl. : "&amp;TEXT(P41,"0.000")&amp;" kWh øvrigt EL-forbrug)"</f>
        <v>4.000 kWh 71,2 [øre/kWh] ekskl. moms (NB! inkl. : 1.500 kWh øvrigt EL-forbrug)</v>
      </c>
      <c r="C56" s="82"/>
      <c r="D56" s="88">
        <f>MAX(D54+P41-4000,0)</f>
        <v>12800</v>
      </c>
      <c r="E56" s="18"/>
      <c r="F56" s="18"/>
      <c r="G56" s="18"/>
      <c r="H56" s="18" t="s">
        <v>3</v>
      </c>
      <c r="I56" s="53">
        <f>+I42</f>
        <v>-71.2</v>
      </c>
      <c r="J56" s="18" t="s">
        <v>18</v>
      </c>
      <c r="K56" s="38">
        <f>D56*I56/100</f>
        <v>-9113.6</v>
      </c>
      <c r="L56" s="19" t="s">
        <v>5</v>
      </c>
    </row>
    <row r="57" spans="2:17" x14ac:dyDescent="0.35">
      <c r="B57" s="17"/>
      <c r="C57" s="18"/>
      <c r="D57" s="18"/>
      <c r="E57" s="18"/>
      <c r="F57" s="18"/>
      <c r="G57" s="18"/>
      <c r="H57" s="18"/>
      <c r="I57" s="48"/>
      <c r="J57" s="18"/>
      <c r="K57" s="7"/>
      <c r="L57" s="1"/>
    </row>
    <row r="58" spans="2:17" x14ac:dyDescent="0.35">
      <c r="B58" s="9" t="s">
        <v>8</v>
      </c>
      <c r="C58" s="8"/>
      <c r="D58" s="8"/>
      <c r="E58" s="8"/>
      <c r="F58" s="8"/>
      <c r="G58" s="8"/>
      <c r="H58" s="8"/>
      <c r="I58" s="44"/>
      <c r="J58" s="8"/>
      <c r="K58" s="15">
        <f>SUM(K51:K57)</f>
        <v>24572.968000000008</v>
      </c>
      <c r="L58" s="19" t="s">
        <v>5</v>
      </c>
    </row>
    <row r="59" spans="2:17" x14ac:dyDescent="0.35">
      <c r="B59" s="17" t="s">
        <v>7</v>
      </c>
      <c r="C59" s="18"/>
      <c r="D59" s="18"/>
      <c r="E59" s="18"/>
      <c r="F59" s="18"/>
      <c r="G59" s="18"/>
      <c r="H59" s="18"/>
      <c r="I59" s="48"/>
      <c r="J59" s="18"/>
      <c r="K59" s="2">
        <f>K58*0.25</f>
        <v>6143.242000000002</v>
      </c>
      <c r="L59" s="1" t="s">
        <v>5</v>
      </c>
    </row>
    <row r="60" spans="2:17" ht="15" thickBot="1" x14ac:dyDescent="0.4">
      <c r="B60" s="27" t="s">
        <v>9</v>
      </c>
      <c r="C60" s="29"/>
      <c r="D60" s="29"/>
      <c r="E60" s="29"/>
      <c r="F60" s="29"/>
      <c r="G60" s="29"/>
      <c r="H60" s="29"/>
      <c r="I60" s="49"/>
      <c r="J60" s="29"/>
      <c r="K60" s="6">
        <f>K59+K58</f>
        <v>30716.21000000001</v>
      </c>
      <c r="L60" s="26" t="s">
        <v>5</v>
      </c>
    </row>
    <row r="61" spans="2:17" ht="3" customHeight="1" thickTop="1" x14ac:dyDescent="0.35">
      <c r="B61" s="31"/>
      <c r="C61" s="32"/>
      <c r="D61" s="32"/>
      <c r="E61" s="32"/>
      <c r="F61" s="32"/>
      <c r="G61" s="32"/>
      <c r="H61" s="32"/>
      <c r="I61" s="50"/>
      <c r="J61" s="32"/>
      <c r="K61" s="33"/>
      <c r="L61" s="34"/>
      <c r="M61" s="30"/>
    </row>
    <row r="63" spans="2:17" x14ac:dyDescent="0.35">
      <c r="B63" s="3"/>
    </row>
    <row r="64" spans="2:17" ht="17.25" customHeight="1" x14ac:dyDescent="0.35">
      <c r="B64" s="127" t="s">
        <v>10</v>
      </c>
      <c r="C64" s="128"/>
      <c r="D64" s="128"/>
      <c r="E64" s="128"/>
      <c r="F64" s="128"/>
      <c r="G64" s="128"/>
      <c r="H64" s="128"/>
      <c r="I64" s="128"/>
      <c r="J64" s="128"/>
      <c r="K64" s="128"/>
      <c r="L64" s="129"/>
    </row>
    <row r="65" spans="1:23" ht="17.25" customHeight="1" x14ac:dyDescent="0.35">
      <c r="B65" s="11" t="str">
        <f>B14</f>
        <v>Varmeforbrug standardhus</v>
      </c>
      <c r="C65" s="14"/>
      <c r="D65" s="13">
        <f>D7</f>
        <v>15.3</v>
      </c>
      <c r="E65" s="13" t="str">
        <f>E14</f>
        <v>[MWh]</v>
      </c>
      <c r="F65" s="14"/>
      <c r="G65" s="14"/>
      <c r="H65" s="14"/>
      <c r="I65" s="52"/>
      <c r="J65" s="14"/>
      <c r="K65" s="14"/>
      <c r="L65" s="16"/>
      <c r="N65" t="s">
        <v>62</v>
      </c>
      <c r="O65" s="103">
        <v>1800</v>
      </c>
      <c r="P65" t="s">
        <v>60</v>
      </c>
      <c r="Q65" s="103">
        <v>25920</v>
      </c>
      <c r="R65" t="s">
        <v>61</v>
      </c>
      <c r="T65" s="102">
        <f>ROUNDUP(+Q65/O65,2)</f>
        <v>14.4</v>
      </c>
      <c r="U65" s="124"/>
      <c r="V65" s="124"/>
      <c r="W65" s="124"/>
    </row>
    <row r="66" spans="1:23" ht="17.25" customHeight="1" x14ac:dyDescent="0.35">
      <c r="B66" s="17" t="s">
        <v>87</v>
      </c>
      <c r="C66" s="18"/>
      <c r="D66" s="70">
        <f>+T65</f>
        <v>14.4</v>
      </c>
      <c r="E66" s="124" t="s">
        <v>23</v>
      </c>
      <c r="F66" s="124"/>
      <c r="G66" s="124"/>
      <c r="H66" s="124"/>
      <c r="I66" s="48"/>
      <c r="J66" s="18"/>
      <c r="K66" s="18"/>
      <c r="L66" s="19"/>
      <c r="O66" s="63" t="s">
        <v>36</v>
      </c>
    </row>
    <row r="67" spans="1:23" ht="17.25" customHeight="1" x14ac:dyDescent="0.35">
      <c r="B67" s="17" t="s">
        <v>24</v>
      </c>
      <c r="C67" s="18"/>
      <c r="D67" s="55">
        <f>D8</f>
        <v>1530</v>
      </c>
      <c r="E67" s="38" t="s">
        <v>11</v>
      </c>
      <c r="F67" s="18"/>
      <c r="G67" s="18"/>
      <c r="H67" s="18" t="s">
        <v>3</v>
      </c>
      <c r="I67" s="47">
        <f>D66*0.8</f>
        <v>11.520000000000001</v>
      </c>
      <c r="J67" s="37" t="s">
        <v>12</v>
      </c>
      <c r="K67" s="38">
        <f>I67*D67</f>
        <v>17625.600000000002</v>
      </c>
      <c r="L67" s="19" t="s">
        <v>5</v>
      </c>
    </row>
    <row r="68" spans="1:23" ht="17.25" customHeight="1" x14ac:dyDescent="0.35">
      <c r="B68" s="17" t="s">
        <v>13</v>
      </c>
      <c r="C68" s="18"/>
      <c r="D68" s="18"/>
      <c r="E68" s="18"/>
      <c r="F68" s="18"/>
      <c r="G68" s="18"/>
      <c r="H68" s="18"/>
      <c r="I68" s="48"/>
      <c r="J68" s="18"/>
      <c r="K68" s="71">
        <v>1800</v>
      </c>
      <c r="L68" s="19" t="s">
        <v>5</v>
      </c>
    </row>
    <row r="69" spans="1:23" ht="17.25" customHeight="1" x14ac:dyDescent="0.35">
      <c r="B69" s="9" t="s">
        <v>8</v>
      </c>
      <c r="C69" s="8"/>
      <c r="D69" s="18"/>
      <c r="E69" s="18"/>
      <c r="F69" s="18"/>
      <c r="G69" s="18"/>
      <c r="H69" s="18"/>
      <c r="I69" s="48"/>
      <c r="J69" s="18"/>
      <c r="K69" s="15">
        <f>SUM(K66:K68)</f>
        <v>19425.600000000002</v>
      </c>
      <c r="L69" s="19" t="s">
        <v>5</v>
      </c>
    </row>
    <row r="70" spans="1:23" ht="17.25" customHeight="1" x14ac:dyDescent="0.35">
      <c r="B70" s="17" t="s">
        <v>7</v>
      </c>
      <c r="C70" s="18"/>
      <c r="D70" s="18"/>
      <c r="E70" s="18"/>
      <c r="F70" s="18"/>
      <c r="G70" s="18"/>
      <c r="H70" s="18"/>
      <c r="I70" s="48"/>
      <c r="J70" s="18"/>
      <c r="K70" s="2">
        <f>K69*0.25</f>
        <v>4856.4000000000005</v>
      </c>
      <c r="L70" s="1" t="s">
        <v>5</v>
      </c>
    </row>
    <row r="71" spans="1:23" ht="17.25" customHeight="1" thickBot="1" x14ac:dyDescent="0.4">
      <c r="B71" s="27" t="s">
        <v>9</v>
      </c>
      <c r="K71" s="6">
        <f>K70+K69</f>
        <v>24282.000000000004</v>
      </c>
      <c r="L71" s="35" t="s">
        <v>5</v>
      </c>
      <c r="M71" s="30"/>
    </row>
    <row r="72" spans="1:23" ht="15" thickTop="1" x14ac:dyDescent="0.35">
      <c r="A72" s="36"/>
      <c r="B72" s="32"/>
      <c r="C72" s="32"/>
      <c r="D72" s="32"/>
      <c r="E72" s="32"/>
      <c r="F72" s="32"/>
      <c r="G72" s="32"/>
      <c r="H72" s="32"/>
      <c r="I72" s="50"/>
      <c r="J72" s="32"/>
      <c r="K72" s="32"/>
      <c r="L72" s="34"/>
      <c r="M72" s="30"/>
    </row>
    <row r="107" spans="2:12" ht="2.25" customHeight="1" x14ac:dyDescent="0.35">
      <c r="B107" s="31"/>
      <c r="C107" s="32"/>
      <c r="D107" s="32"/>
      <c r="E107" s="32"/>
      <c r="F107" s="32"/>
      <c r="G107" s="32"/>
      <c r="H107" s="32"/>
      <c r="I107" s="50"/>
      <c r="J107" s="32"/>
      <c r="K107" s="33"/>
      <c r="L107" s="34"/>
    </row>
  </sheetData>
  <mergeCells count="13">
    <mergeCell ref="U65:W65"/>
    <mergeCell ref="O1:P1"/>
    <mergeCell ref="E38:I38"/>
    <mergeCell ref="B64:L64"/>
    <mergeCell ref="E66:H66"/>
    <mergeCell ref="B5:L5"/>
    <mergeCell ref="B13:L13"/>
    <mergeCell ref="B49:L49"/>
    <mergeCell ref="B23:L23"/>
    <mergeCell ref="E52:I52"/>
    <mergeCell ref="B36:L36"/>
    <mergeCell ref="E39:I39"/>
    <mergeCell ref="E53:I53"/>
  </mergeCells>
  <hyperlinks>
    <hyperlink ref="O66" r:id="rId1" xr:uid="{00000000-0004-0000-0000-000000000000}"/>
    <hyperlink ref="O38" r:id="rId2" location="/" xr:uid="{00000000-0004-0000-0000-000001000000}"/>
    <hyperlink ref="O26" r:id="rId3" xr:uid="{00000000-0004-0000-0000-000003000000}"/>
    <hyperlink ref="O14" r:id="rId4" xr:uid="{97060A90-1AE3-401C-A627-7F5456C47BBB}"/>
    <hyperlink ref="O25" r:id="rId5" xr:uid="{8DFD6F39-E885-47C7-B3FE-934981CE72AA}"/>
  </hyperlinks>
  <pageMargins left="0.7" right="0.7" top="0.75" bottom="0.75" header="0.3" footer="0.3"/>
  <pageSetup paperSize="9" scale="32" orientation="portrait" r:id="rId6"/>
  <drawing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8C97-819A-4EE8-B742-8820AE36FE8A}">
  <sheetPr>
    <pageSetUpPr fitToPage="1"/>
  </sheetPr>
  <dimension ref="B6:I64"/>
  <sheetViews>
    <sheetView topLeftCell="A4" workbookViewId="0">
      <selection activeCell="E9" sqref="E9"/>
    </sheetView>
  </sheetViews>
  <sheetFormatPr defaultRowHeight="14.5" x14ac:dyDescent="0.35"/>
  <cols>
    <col min="2" max="3" width="13.54296875" customWidth="1"/>
    <col min="4" max="4" width="12.453125" customWidth="1"/>
    <col min="7" max="7" width="10" customWidth="1"/>
    <col min="8" max="8" width="10.54296875" customWidth="1"/>
    <col min="9" max="9" width="19.26953125" customWidth="1"/>
    <col min="10" max="10" width="10.453125" customWidth="1"/>
  </cols>
  <sheetData>
    <row r="6" spans="2:9" ht="26" x14ac:dyDescent="0.6">
      <c r="B6" s="116" t="s">
        <v>77</v>
      </c>
    </row>
    <row r="9" spans="2:9" x14ac:dyDescent="0.35">
      <c r="E9" s="104">
        <v>1</v>
      </c>
      <c r="F9" t="s">
        <v>73</v>
      </c>
      <c r="G9" s="114" t="s">
        <v>74</v>
      </c>
      <c r="H9" s="104">
        <v>11</v>
      </c>
      <c r="I9" t="s">
        <v>75</v>
      </c>
    </row>
    <row r="11" spans="2:9" x14ac:dyDescent="0.35">
      <c r="H11" s="104"/>
    </row>
    <row r="12" spans="2:9" x14ac:dyDescent="0.35">
      <c r="B12" s="114" t="s">
        <v>26</v>
      </c>
      <c r="F12" s="121" t="s">
        <v>76</v>
      </c>
      <c r="G12" t="s">
        <v>70</v>
      </c>
      <c r="H12" s="104">
        <v>30</v>
      </c>
      <c r="I12" t="s">
        <v>71</v>
      </c>
    </row>
    <row r="13" spans="2:9" x14ac:dyDescent="0.35">
      <c r="B13" s="114" t="s">
        <v>66</v>
      </c>
      <c r="D13" t="s">
        <v>67</v>
      </c>
    </row>
    <row r="15" spans="2:9" x14ac:dyDescent="0.35">
      <c r="B15">
        <v>100</v>
      </c>
      <c r="C15" t="s">
        <v>66</v>
      </c>
      <c r="D15" t="s">
        <v>67</v>
      </c>
      <c r="E15" s="106">
        <f>ROUNDUP(B15*$H$9/1000,1)</f>
        <v>1.1000000000000001</v>
      </c>
      <c r="F15" t="s">
        <v>68</v>
      </c>
      <c r="G15" s="113" t="s">
        <v>72</v>
      </c>
      <c r="H15" s="115">
        <f t="shared" ref="H15:H46" si="0">ROUNDUP(+B15*$H$9/1000*860/$H$12,1)</f>
        <v>31.6</v>
      </c>
      <c r="I15" t="s">
        <v>69</v>
      </c>
    </row>
    <row r="16" spans="2:9" x14ac:dyDescent="0.35">
      <c r="B16" s="117">
        <f>+B15+100</f>
        <v>200</v>
      </c>
      <c r="C16" s="117" t="s">
        <v>66</v>
      </c>
      <c r="D16" s="117" t="s">
        <v>67</v>
      </c>
      <c r="E16" s="118">
        <f t="shared" ref="E16:E63" si="1">ROUNDUP(B16*$H$9/1000,1)</f>
        <v>2.2000000000000002</v>
      </c>
      <c r="F16" s="117" t="s">
        <v>68</v>
      </c>
      <c r="G16" s="119" t="s">
        <v>72</v>
      </c>
      <c r="H16" s="120">
        <f t="shared" si="0"/>
        <v>63.1</v>
      </c>
      <c r="I16" s="117" t="s">
        <v>69</v>
      </c>
    </row>
    <row r="17" spans="2:9" x14ac:dyDescent="0.35">
      <c r="B17">
        <f t="shared" ref="B17:B63" si="2">+B16+100</f>
        <v>300</v>
      </c>
      <c r="C17" t="s">
        <v>66</v>
      </c>
      <c r="D17" t="s">
        <v>67</v>
      </c>
      <c r="E17" s="106">
        <f t="shared" si="1"/>
        <v>3.3</v>
      </c>
      <c r="F17" t="s">
        <v>68</v>
      </c>
      <c r="G17" s="113" t="s">
        <v>72</v>
      </c>
      <c r="H17" s="115">
        <f t="shared" si="0"/>
        <v>94.6</v>
      </c>
      <c r="I17" t="s">
        <v>69</v>
      </c>
    </row>
    <row r="18" spans="2:9" x14ac:dyDescent="0.35">
      <c r="B18" s="117">
        <f>+B17+100</f>
        <v>400</v>
      </c>
      <c r="C18" s="117" t="s">
        <v>66</v>
      </c>
      <c r="D18" s="117" t="s">
        <v>67</v>
      </c>
      <c r="E18" s="118">
        <f t="shared" ref="E18" si="3">ROUNDUP(B18*$H$9/1000,1)</f>
        <v>4.4000000000000004</v>
      </c>
      <c r="F18" s="117" t="s">
        <v>68</v>
      </c>
      <c r="G18" s="119" t="s">
        <v>72</v>
      </c>
      <c r="H18" s="120">
        <f t="shared" si="0"/>
        <v>126.19999999999999</v>
      </c>
      <c r="I18" s="117" t="s">
        <v>69</v>
      </c>
    </row>
    <row r="19" spans="2:9" x14ac:dyDescent="0.35">
      <c r="B19">
        <f t="shared" si="2"/>
        <v>500</v>
      </c>
      <c r="C19" t="s">
        <v>66</v>
      </c>
      <c r="D19" t="s">
        <v>67</v>
      </c>
      <c r="E19" s="106">
        <f t="shared" si="1"/>
        <v>5.5</v>
      </c>
      <c r="F19" t="s">
        <v>68</v>
      </c>
      <c r="G19" s="113" t="s">
        <v>72</v>
      </c>
      <c r="H19" s="115">
        <f t="shared" si="0"/>
        <v>157.69999999999999</v>
      </c>
      <c r="I19" t="s">
        <v>69</v>
      </c>
    </row>
    <row r="20" spans="2:9" x14ac:dyDescent="0.35">
      <c r="B20" s="117">
        <f>+B19+100</f>
        <v>600</v>
      </c>
      <c r="C20" s="117" t="s">
        <v>66</v>
      </c>
      <c r="D20" s="117" t="s">
        <v>67</v>
      </c>
      <c r="E20" s="118">
        <f t="shared" ref="E20" si="4">ROUNDUP(B20*$H$9/1000,1)</f>
        <v>6.6</v>
      </c>
      <c r="F20" s="117" t="s">
        <v>68</v>
      </c>
      <c r="G20" s="119" t="s">
        <v>72</v>
      </c>
      <c r="H20" s="120">
        <f t="shared" si="0"/>
        <v>189.2</v>
      </c>
      <c r="I20" s="117" t="s">
        <v>69</v>
      </c>
    </row>
    <row r="21" spans="2:9" x14ac:dyDescent="0.35">
      <c r="B21">
        <f t="shared" si="2"/>
        <v>700</v>
      </c>
      <c r="C21" t="s">
        <v>66</v>
      </c>
      <c r="D21" t="s">
        <v>67</v>
      </c>
      <c r="E21" s="106">
        <f t="shared" si="1"/>
        <v>7.7</v>
      </c>
      <c r="F21" t="s">
        <v>68</v>
      </c>
      <c r="G21" s="113" t="s">
        <v>72</v>
      </c>
      <c r="H21" s="115">
        <f t="shared" si="0"/>
        <v>220.79999999999998</v>
      </c>
      <c r="I21" t="s">
        <v>69</v>
      </c>
    </row>
    <row r="22" spans="2:9" x14ac:dyDescent="0.35">
      <c r="B22" s="117">
        <f>+B21+100</f>
        <v>800</v>
      </c>
      <c r="C22" s="117" t="s">
        <v>66</v>
      </c>
      <c r="D22" s="117" t="s">
        <v>67</v>
      </c>
      <c r="E22" s="118">
        <f t="shared" ref="E22" si="5">ROUNDUP(B22*$H$9/1000,1)</f>
        <v>8.8000000000000007</v>
      </c>
      <c r="F22" s="117" t="s">
        <v>68</v>
      </c>
      <c r="G22" s="119" t="s">
        <v>72</v>
      </c>
      <c r="H22" s="120">
        <f t="shared" si="0"/>
        <v>252.29999999999998</v>
      </c>
      <c r="I22" s="117" t="s">
        <v>69</v>
      </c>
    </row>
    <row r="23" spans="2:9" x14ac:dyDescent="0.35">
      <c r="B23">
        <f t="shared" si="2"/>
        <v>900</v>
      </c>
      <c r="C23" t="s">
        <v>66</v>
      </c>
      <c r="D23" t="s">
        <v>67</v>
      </c>
      <c r="E23" s="106">
        <f t="shared" si="1"/>
        <v>9.9</v>
      </c>
      <c r="F23" t="s">
        <v>68</v>
      </c>
      <c r="G23" s="113" t="s">
        <v>72</v>
      </c>
      <c r="H23" s="115">
        <f t="shared" si="0"/>
        <v>283.8</v>
      </c>
      <c r="I23" t="s">
        <v>69</v>
      </c>
    </row>
    <row r="24" spans="2:9" x14ac:dyDescent="0.35">
      <c r="B24" s="117">
        <f>+B23+100</f>
        <v>1000</v>
      </c>
      <c r="C24" s="117" t="s">
        <v>66</v>
      </c>
      <c r="D24" s="117" t="s">
        <v>67</v>
      </c>
      <c r="E24" s="118">
        <f t="shared" ref="E24" si="6">ROUNDUP(B24*$H$9/1000,1)</f>
        <v>11</v>
      </c>
      <c r="F24" s="117" t="s">
        <v>68</v>
      </c>
      <c r="G24" s="119" t="s">
        <v>72</v>
      </c>
      <c r="H24" s="120">
        <f t="shared" si="0"/>
        <v>315.40000000000003</v>
      </c>
      <c r="I24" s="117" t="s">
        <v>69</v>
      </c>
    </row>
    <row r="25" spans="2:9" x14ac:dyDescent="0.35">
      <c r="B25">
        <f t="shared" si="2"/>
        <v>1100</v>
      </c>
      <c r="C25" t="s">
        <v>66</v>
      </c>
      <c r="D25" t="s">
        <v>67</v>
      </c>
      <c r="E25" s="106">
        <f t="shared" si="1"/>
        <v>12.1</v>
      </c>
      <c r="F25" t="s">
        <v>68</v>
      </c>
      <c r="G25" s="113" t="s">
        <v>72</v>
      </c>
      <c r="H25" s="115">
        <f t="shared" si="0"/>
        <v>346.90000000000003</v>
      </c>
      <c r="I25" t="s">
        <v>69</v>
      </c>
    </row>
    <row r="26" spans="2:9" x14ac:dyDescent="0.35">
      <c r="B26" s="117">
        <f>+B25+100</f>
        <v>1200</v>
      </c>
      <c r="C26" s="117" t="s">
        <v>66</v>
      </c>
      <c r="D26" s="117" t="s">
        <v>67</v>
      </c>
      <c r="E26" s="118">
        <f t="shared" ref="E26" si="7">ROUNDUP(B26*$H$9/1000,1)</f>
        <v>13.2</v>
      </c>
      <c r="F26" s="117" t="s">
        <v>68</v>
      </c>
      <c r="G26" s="119" t="s">
        <v>72</v>
      </c>
      <c r="H26" s="120">
        <f t="shared" si="0"/>
        <v>378.4</v>
      </c>
      <c r="I26" s="117" t="s">
        <v>69</v>
      </c>
    </row>
    <row r="27" spans="2:9" x14ac:dyDescent="0.35">
      <c r="B27">
        <f t="shared" si="2"/>
        <v>1300</v>
      </c>
      <c r="C27" t="s">
        <v>66</v>
      </c>
      <c r="D27" t="s">
        <v>67</v>
      </c>
      <c r="E27" s="106">
        <f t="shared" si="1"/>
        <v>14.3</v>
      </c>
      <c r="F27" t="s">
        <v>68</v>
      </c>
      <c r="G27" s="113" t="s">
        <v>72</v>
      </c>
      <c r="H27" s="115">
        <f t="shared" si="0"/>
        <v>410</v>
      </c>
      <c r="I27" t="s">
        <v>69</v>
      </c>
    </row>
    <row r="28" spans="2:9" x14ac:dyDescent="0.35">
      <c r="B28" s="117">
        <f>+B27+100</f>
        <v>1400</v>
      </c>
      <c r="C28" s="117" t="s">
        <v>66</v>
      </c>
      <c r="D28" s="117" t="s">
        <v>67</v>
      </c>
      <c r="E28" s="118">
        <f t="shared" ref="E28" si="8">ROUNDUP(B28*$H$9/1000,1)</f>
        <v>15.4</v>
      </c>
      <c r="F28" s="117" t="s">
        <v>68</v>
      </c>
      <c r="G28" s="119" t="s">
        <v>72</v>
      </c>
      <c r="H28" s="120">
        <f t="shared" si="0"/>
        <v>441.5</v>
      </c>
      <c r="I28" s="117" t="s">
        <v>69</v>
      </c>
    </row>
    <row r="29" spans="2:9" x14ac:dyDescent="0.35">
      <c r="B29">
        <f t="shared" si="2"/>
        <v>1500</v>
      </c>
      <c r="C29" t="s">
        <v>66</v>
      </c>
      <c r="D29" t="s">
        <v>67</v>
      </c>
      <c r="E29" s="106">
        <f t="shared" si="1"/>
        <v>16.5</v>
      </c>
      <c r="F29" t="s">
        <v>68</v>
      </c>
      <c r="G29" s="113" t="s">
        <v>72</v>
      </c>
      <c r="H29" s="115">
        <f t="shared" si="0"/>
        <v>473</v>
      </c>
      <c r="I29" t="s">
        <v>69</v>
      </c>
    </row>
    <row r="30" spans="2:9" x14ac:dyDescent="0.35">
      <c r="B30" s="117">
        <f>+B29+100</f>
        <v>1600</v>
      </c>
      <c r="C30" s="117" t="s">
        <v>66</v>
      </c>
      <c r="D30" s="117" t="s">
        <v>67</v>
      </c>
      <c r="E30" s="118">
        <f t="shared" ref="E30" si="9">ROUNDUP(B30*$H$9/1000,1)</f>
        <v>17.600000000000001</v>
      </c>
      <c r="F30" s="117" t="s">
        <v>68</v>
      </c>
      <c r="G30" s="119" t="s">
        <v>72</v>
      </c>
      <c r="H30" s="120">
        <f t="shared" si="0"/>
        <v>504.6</v>
      </c>
      <c r="I30" s="117" t="s">
        <v>69</v>
      </c>
    </row>
    <row r="31" spans="2:9" x14ac:dyDescent="0.35">
      <c r="B31">
        <f t="shared" si="2"/>
        <v>1700</v>
      </c>
      <c r="C31" t="s">
        <v>66</v>
      </c>
      <c r="D31" t="s">
        <v>67</v>
      </c>
      <c r="E31" s="106">
        <f t="shared" si="1"/>
        <v>18.7</v>
      </c>
      <c r="F31" t="s">
        <v>68</v>
      </c>
      <c r="G31" s="113" t="s">
        <v>72</v>
      </c>
      <c r="H31" s="115">
        <f t="shared" si="0"/>
        <v>536.1</v>
      </c>
      <c r="I31" t="s">
        <v>69</v>
      </c>
    </row>
    <row r="32" spans="2:9" x14ac:dyDescent="0.35">
      <c r="B32" s="117">
        <f>+B31+100</f>
        <v>1800</v>
      </c>
      <c r="C32" s="117" t="s">
        <v>66</v>
      </c>
      <c r="D32" s="117" t="s">
        <v>67</v>
      </c>
      <c r="E32" s="118">
        <f t="shared" ref="E32" si="10">ROUNDUP(B32*$H$9/1000,1)</f>
        <v>19.8</v>
      </c>
      <c r="F32" s="117" t="s">
        <v>68</v>
      </c>
      <c r="G32" s="119" t="s">
        <v>72</v>
      </c>
      <c r="H32" s="120">
        <f t="shared" si="0"/>
        <v>567.6</v>
      </c>
      <c r="I32" s="117" t="s">
        <v>69</v>
      </c>
    </row>
    <row r="33" spans="2:9" x14ac:dyDescent="0.35">
      <c r="B33">
        <f t="shared" si="2"/>
        <v>1900</v>
      </c>
      <c r="C33" t="s">
        <v>66</v>
      </c>
      <c r="D33" t="s">
        <v>67</v>
      </c>
      <c r="E33" s="106">
        <f t="shared" si="1"/>
        <v>20.9</v>
      </c>
      <c r="F33" t="s">
        <v>68</v>
      </c>
      <c r="G33" s="113" t="s">
        <v>72</v>
      </c>
      <c r="H33" s="115">
        <f t="shared" si="0"/>
        <v>599.20000000000005</v>
      </c>
      <c r="I33" t="s">
        <v>69</v>
      </c>
    </row>
    <row r="34" spans="2:9" x14ac:dyDescent="0.35">
      <c r="B34" s="117">
        <f>+B33+100</f>
        <v>2000</v>
      </c>
      <c r="C34" s="117" t="s">
        <v>66</v>
      </c>
      <c r="D34" s="117" t="s">
        <v>67</v>
      </c>
      <c r="E34" s="118">
        <f t="shared" ref="E34" si="11">ROUNDUP(B34*$H$9/1000,1)</f>
        <v>22</v>
      </c>
      <c r="F34" s="117" t="s">
        <v>68</v>
      </c>
      <c r="G34" s="119" t="s">
        <v>72</v>
      </c>
      <c r="H34" s="120">
        <f t="shared" si="0"/>
        <v>630.70000000000005</v>
      </c>
      <c r="I34" s="117" t="s">
        <v>69</v>
      </c>
    </row>
    <row r="35" spans="2:9" x14ac:dyDescent="0.35">
      <c r="B35">
        <f t="shared" si="2"/>
        <v>2100</v>
      </c>
      <c r="C35" t="s">
        <v>66</v>
      </c>
      <c r="D35" t="s">
        <v>67</v>
      </c>
      <c r="E35" s="106">
        <f t="shared" si="1"/>
        <v>23.1</v>
      </c>
      <c r="F35" t="s">
        <v>68</v>
      </c>
      <c r="G35" s="113" t="s">
        <v>72</v>
      </c>
      <c r="H35" s="115">
        <f t="shared" si="0"/>
        <v>662.2</v>
      </c>
      <c r="I35" t="s">
        <v>69</v>
      </c>
    </row>
    <row r="36" spans="2:9" x14ac:dyDescent="0.35">
      <c r="B36" s="117">
        <f>+B35+100</f>
        <v>2200</v>
      </c>
      <c r="C36" s="117" t="s">
        <v>66</v>
      </c>
      <c r="D36" s="117" t="s">
        <v>67</v>
      </c>
      <c r="E36" s="118">
        <f t="shared" ref="E36" si="12">ROUNDUP(B36*$H$9/1000,1)</f>
        <v>24.2</v>
      </c>
      <c r="F36" s="117" t="s">
        <v>68</v>
      </c>
      <c r="G36" s="119" t="s">
        <v>72</v>
      </c>
      <c r="H36" s="120">
        <f t="shared" si="0"/>
        <v>693.80000000000007</v>
      </c>
      <c r="I36" s="117" t="s">
        <v>69</v>
      </c>
    </row>
    <row r="37" spans="2:9" x14ac:dyDescent="0.35">
      <c r="B37">
        <f t="shared" si="2"/>
        <v>2300</v>
      </c>
      <c r="C37" t="s">
        <v>66</v>
      </c>
      <c r="D37" t="s">
        <v>67</v>
      </c>
      <c r="E37" s="106">
        <f t="shared" si="1"/>
        <v>25.3</v>
      </c>
      <c r="F37" t="s">
        <v>68</v>
      </c>
      <c r="G37" s="113" t="s">
        <v>72</v>
      </c>
      <c r="H37" s="115">
        <f t="shared" si="0"/>
        <v>725.30000000000007</v>
      </c>
      <c r="I37" t="s">
        <v>69</v>
      </c>
    </row>
    <row r="38" spans="2:9" x14ac:dyDescent="0.35">
      <c r="B38" s="117">
        <f>+B37+100</f>
        <v>2400</v>
      </c>
      <c r="C38" s="117" t="s">
        <v>66</v>
      </c>
      <c r="D38" s="117" t="s">
        <v>67</v>
      </c>
      <c r="E38" s="118">
        <f t="shared" ref="E38" si="13">ROUNDUP(B38*$H$9/1000,1)</f>
        <v>26.4</v>
      </c>
      <c r="F38" s="117" t="s">
        <v>68</v>
      </c>
      <c r="G38" s="119" t="s">
        <v>72</v>
      </c>
      <c r="H38" s="120">
        <f t="shared" si="0"/>
        <v>756.8</v>
      </c>
      <c r="I38" s="117" t="s">
        <v>69</v>
      </c>
    </row>
    <row r="39" spans="2:9" x14ac:dyDescent="0.35">
      <c r="B39">
        <f t="shared" si="2"/>
        <v>2500</v>
      </c>
      <c r="C39" t="s">
        <v>66</v>
      </c>
      <c r="D39" t="s">
        <v>67</v>
      </c>
      <c r="E39" s="106">
        <f t="shared" si="1"/>
        <v>27.5</v>
      </c>
      <c r="F39" t="s">
        <v>68</v>
      </c>
      <c r="G39" s="113" t="s">
        <v>72</v>
      </c>
      <c r="H39" s="115">
        <f t="shared" si="0"/>
        <v>788.4</v>
      </c>
      <c r="I39" t="s">
        <v>69</v>
      </c>
    </row>
    <row r="40" spans="2:9" x14ac:dyDescent="0.35">
      <c r="B40" s="117">
        <f>+B39+100</f>
        <v>2600</v>
      </c>
      <c r="C40" s="117" t="s">
        <v>66</v>
      </c>
      <c r="D40" s="117" t="s">
        <v>67</v>
      </c>
      <c r="E40" s="118">
        <f t="shared" ref="E40" si="14">ROUNDUP(B40*$H$9/1000,1)</f>
        <v>28.6</v>
      </c>
      <c r="F40" s="117" t="s">
        <v>68</v>
      </c>
      <c r="G40" s="119" t="s">
        <v>72</v>
      </c>
      <c r="H40" s="120">
        <f t="shared" si="0"/>
        <v>819.9</v>
      </c>
      <c r="I40" s="117" t="s">
        <v>69</v>
      </c>
    </row>
    <row r="41" spans="2:9" x14ac:dyDescent="0.35">
      <c r="B41">
        <f t="shared" si="2"/>
        <v>2700</v>
      </c>
      <c r="C41" t="s">
        <v>66</v>
      </c>
      <c r="D41" t="s">
        <v>67</v>
      </c>
      <c r="E41" s="106">
        <f t="shared" si="1"/>
        <v>29.7</v>
      </c>
      <c r="F41" t="s">
        <v>68</v>
      </c>
      <c r="G41" s="113" t="s">
        <v>72</v>
      </c>
      <c r="H41" s="115">
        <f t="shared" si="0"/>
        <v>851.4</v>
      </c>
      <c r="I41" t="s">
        <v>69</v>
      </c>
    </row>
    <row r="42" spans="2:9" x14ac:dyDescent="0.35">
      <c r="B42" s="117">
        <f>+B41+100</f>
        <v>2800</v>
      </c>
      <c r="C42" s="117" t="s">
        <v>66</v>
      </c>
      <c r="D42" s="117" t="s">
        <v>67</v>
      </c>
      <c r="E42" s="118">
        <f t="shared" ref="E42" si="15">ROUNDUP(B42*$H$9/1000,1)</f>
        <v>30.8</v>
      </c>
      <c r="F42" s="117" t="s">
        <v>68</v>
      </c>
      <c r="G42" s="119" t="s">
        <v>72</v>
      </c>
      <c r="H42" s="120">
        <f t="shared" si="0"/>
        <v>883</v>
      </c>
      <c r="I42" s="117" t="s">
        <v>69</v>
      </c>
    </row>
    <row r="43" spans="2:9" x14ac:dyDescent="0.35">
      <c r="B43">
        <f t="shared" si="2"/>
        <v>2900</v>
      </c>
      <c r="C43" t="s">
        <v>66</v>
      </c>
      <c r="D43" t="s">
        <v>67</v>
      </c>
      <c r="E43" s="106">
        <f t="shared" si="1"/>
        <v>31.9</v>
      </c>
      <c r="F43" t="s">
        <v>68</v>
      </c>
      <c r="G43" s="113" t="s">
        <v>72</v>
      </c>
      <c r="H43" s="115">
        <f t="shared" si="0"/>
        <v>914.5</v>
      </c>
      <c r="I43" t="s">
        <v>69</v>
      </c>
    </row>
    <row r="44" spans="2:9" x14ac:dyDescent="0.35">
      <c r="B44" s="117">
        <f>+B43+100</f>
        <v>3000</v>
      </c>
      <c r="C44" s="117" t="s">
        <v>66</v>
      </c>
      <c r="D44" s="117" t="s">
        <v>67</v>
      </c>
      <c r="E44" s="118">
        <f t="shared" ref="E44" si="16">ROUNDUP(B44*$H$9/1000,1)</f>
        <v>33</v>
      </c>
      <c r="F44" s="117" t="s">
        <v>68</v>
      </c>
      <c r="G44" s="119" t="s">
        <v>72</v>
      </c>
      <c r="H44" s="120">
        <f t="shared" si="0"/>
        <v>946</v>
      </c>
      <c r="I44" s="117" t="s">
        <v>69</v>
      </c>
    </row>
    <row r="45" spans="2:9" x14ac:dyDescent="0.35">
      <c r="B45">
        <f t="shared" si="2"/>
        <v>3100</v>
      </c>
      <c r="C45" t="s">
        <v>66</v>
      </c>
      <c r="D45" t="s">
        <v>67</v>
      </c>
      <c r="E45" s="106">
        <f t="shared" si="1"/>
        <v>34.1</v>
      </c>
      <c r="F45" t="s">
        <v>68</v>
      </c>
      <c r="G45" s="113" t="s">
        <v>72</v>
      </c>
      <c r="H45" s="115">
        <f t="shared" si="0"/>
        <v>977.6</v>
      </c>
      <c r="I45" t="s">
        <v>69</v>
      </c>
    </row>
    <row r="46" spans="2:9" x14ac:dyDescent="0.35">
      <c r="B46" s="117">
        <f>+B45+100</f>
        <v>3200</v>
      </c>
      <c r="C46" s="117" t="s">
        <v>66</v>
      </c>
      <c r="D46" s="117" t="s">
        <v>67</v>
      </c>
      <c r="E46" s="118">
        <f t="shared" ref="E46" si="17">ROUNDUP(B46*$H$9/1000,1)</f>
        <v>35.200000000000003</v>
      </c>
      <c r="F46" s="117" t="s">
        <v>68</v>
      </c>
      <c r="G46" s="119" t="s">
        <v>72</v>
      </c>
      <c r="H46" s="120">
        <f t="shared" si="0"/>
        <v>1009.1</v>
      </c>
      <c r="I46" s="117" t="s">
        <v>69</v>
      </c>
    </row>
    <row r="47" spans="2:9" x14ac:dyDescent="0.35">
      <c r="B47">
        <f t="shared" si="2"/>
        <v>3300</v>
      </c>
      <c r="C47" t="s">
        <v>66</v>
      </c>
      <c r="D47" t="s">
        <v>67</v>
      </c>
      <c r="E47" s="106">
        <f t="shared" si="1"/>
        <v>36.299999999999997</v>
      </c>
      <c r="F47" t="s">
        <v>68</v>
      </c>
      <c r="G47" s="113" t="s">
        <v>72</v>
      </c>
      <c r="H47" s="115">
        <f t="shared" ref="H47:H64" si="18">ROUNDUP(+B47*$H$9/1000*860/$H$12,1)</f>
        <v>1040.5999999999999</v>
      </c>
      <c r="I47" t="s">
        <v>69</v>
      </c>
    </row>
    <row r="48" spans="2:9" x14ac:dyDescent="0.35">
      <c r="B48" s="117">
        <f>+B47+100</f>
        <v>3400</v>
      </c>
      <c r="C48" s="117" t="s">
        <v>66</v>
      </c>
      <c r="D48" s="117" t="s">
        <v>67</v>
      </c>
      <c r="E48" s="118">
        <f t="shared" ref="E48" si="19">ROUNDUP(B48*$H$9/1000,1)</f>
        <v>37.4</v>
      </c>
      <c r="F48" s="117" t="s">
        <v>68</v>
      </c>
      <c r="G48" s="119" t="s">
        <v>72</v>
      </c>
      <c r="H48" s="120">
        <f t="shared" si="18"/>
        <v>1072.1999999999998</v>
      </c>
      <c r="I48" s="117" t="s">
        <v>69</v>
      </c>
    </row>
    <row r="49" spans="2:9" x14ac:dyDescent="0.35">
      <c r="B49">
        <f t="shared" si="2"/>
        <v>3500</v>
      </c>
      <c r="C49" t="s">
        <v>66</v>
      </c>
      <c r="D49" t="s">
        <v>67</v>
      </c>
      <c r="E49" s="106">
        <f t="shared" si="1"/>
        <v>38.5</v>
      </c>
      <c r="F49" t="s">
        <v>68</v>
      </c>
      <c r="G49" s="113" t="s">
        <v>72</v>
      </c>
      <c r="H49" s="115">
        <f t="shared" si="18"/>
        <v>1103.6999999999998</v>
      </c>
      <c r="I49" t="s">
        <v>69</v>
      </c>
    </row>
    <row r="50" spans="2:9" x14ac:dyDescent="0.35">
      <c r="B50" s="117">
        <f>+B49+100</f>
        <v>3600</v>
      </c>
      <c r="C50" s="117" t="s">
        <v>66</v>
      </c>
      <c r="D50" s="117" t="s">
        <v>67</v>
      </c>
      <c r="E50" s="118">
        <f t="shared" ref="E50" si="20">ROUNDUP(B50*$H$9/1000,1)</f>
        <v>39.6</v>
      </c>
      <c r="F50" s="117" t="s">
        <v>68</v>
      </c>
      <c r="G50" s="119" t="s">
        <v>72</v>
      </c>
      <c r="H50" s="120">
        <f t="shared" si="18"/>
        <v>1135.2</v>
      </c>
      <c r="I50" s="117" t="s">
        <v>69</v>
      </c>
    </row>
    <row r="51" spans="2:9" x14ac:dyDescent="0.35">
      <c r="B51">
        <f t="shared" si="2"/>
        <v>3700</v>
      </c>
      <c r="C51" t="s">
        <v>66</v>
      </c>
      <c r="D51" t="s">
        <v>67</v>
      </c>
      <c r="E51" s="106">
        <f t="shared" si="1"/>
        <v>40.700000000000003</v>
      </c>
      <c r="F51" t="s">
        <v>68</v>
      </c>
      <c r="G51" s="113" t="s">
        <v>72</v>
      </c>
      <c r="H51" s="115">
        <f t="shared" si="18"/>
        <v>1166.8</v>
      </c>
      <c r="I51" t="s">
        <v>69</v>
      </c>
    </row>
    <row r="52" spans="2:9" x14ac:dyDescent="0.35">
      <c r="B52" s="117">
        <f>+B51+100</f>
        <v>3800</v>
      </c>
      <c r="C52" s="117" t="s">
        <v>66</v>
      </c>
      <c r="D52" s="117" t="s">
        <v>67</v>
      </c>
      <c r="E52" s="118">
        <f t="shared" ref="E52" si="21">ROUNDUP(B52*$H$9/1000,1)</f>
        <v>41.8</v>
      </c>
      <c r="F52" s="117" t="s">
        <v>68</v>
      </c>
      <c r="G52" s="119" t="s">
        <v>72</v>
      </c>
      <c r="H52" s="120">
        <f t="shared" si="18"/>
        <v>1198.3</v>
      </c>
      <c r="I52" s="117" t="s">
        <v>69</v>
      </c>
    </row>
    <row r="53" spans="2:9" x14ac:dyDescent="0.35">
      <c r="B53">
        <f t="shared" si="2"/>
        <v>3900</v>
      </c>
      <c r="C53" t="s">
        <v>66</v>
      </c>
      <c r="D53" t="s">
        <v>67</v>
      </c>
      <c r="E53" s="106">
        <f t="shared" si="1"/>
        <v>42.9</v>
      </c>
      <c r="F53" t="s">
        <v>68</v>
      </c>
      <c r="G53" s="113" t="s">
        <v>72</v>
      </c>
      <c r="H53" s="115">
        <f t="shared" si="18"/>
        <v>1229.8</v>
      </c>
      <c r="I53" t="s">
        <v>69</v>
      </c>
    </row>
    <row r="54" spans="2:9" x14ac:dyDescent="0.35">
      <c r="B54" s="117">
        <f>+B53+100</f>
        <v>4000</v>
      </c>
      <c r="C54" s="117" t="s">
        <v>66</v>
      </c>
      <c r="D54" s="117" t="s">
        <v>67</v>
      </c>
      <c r="E54" s="118">
        <f t="shared" ref="E54" si="22">ROUNDUP(B54*$H$9/1000,1)</f>
        <v>44</v>
      </c>
      <c r="F54" s="117" t="s">
        <v>68</v>
      </c>
      <c r="G54" s="119" t="s">
        <v>72</v>
      </c>
      <c r="H54" s="120">
        <f t="shared" si="18"/>
        <v>1261.3999999999999</v>
      </c>
      <c r="I54" s="117" t="s">
        <v>69</v>
      </c>
    </row>
    <row r="55" spans="2:9" x14ac:dyDescent="0.35">
      <c r="B55">
        <f t="shared" si="2"/>
        <v>4100</v>
      </c>
      <c r="C55" t="s">
        <v>66</v>
      </c>
      <c r="D55" t="s">
        <v>67</v>
      </c>
      <c r="E55" s="106">
        <f t="shared" si="1"/>
        <v>45.1</v>
      </c>
      <c r="F55" t="s">
        <v>68</v>
      </c>
      <c r="G55" s="113" t="s">
        <v>72</v>
      </c>
      <c r="H55" s="115">
        <f t="shared" si="18"/>
        <v>1292.8999999999999</v>
      </c>
      <c r="I55" t="s">
        <v>69</v>
      </c>
    </row>
    <row r="56" spans="2:9" x14ac:dyDescent="0.35">
      <c r="B56" s="117">
        <f>+B55+100</f>
        <v>4200</v>
      </c>
      <c r="C56" s="117" t="s">
        <v>66</v>
      </c>
      <c r="D56" s="117" t="s">
        <v>67</v>
      </c>
      <c r="E56" s="118">
        <f t="shared" ref="E56" si="23">ROUNDUP(B56*$H$9/1000,1)</f>
        <v>46.2</v>
      </c>
      <c r="F56" s="117" t="s">
        <v>68</v>
      </c>
      <c r="G56" s="119" t="s">
        <v>72</v>
      </c>
      <c r="H56" s="120">
        <f t="shared" si="18"/>
        <v>1324.4</v>
      </c>
      <c r="I56" s="117" t="s">
        <v>69</v>
      </c>
    </row>
    <row r="57" spans="2:9" x14ac:dyDescent="0.35">
      <c r="B57">
        <f t="shared" si="2"/>
        <v>4300</v>
      </c>
      <c r="C57" t="s">
        <v>66</v>
      </c>
      <c r="D57" t="s">
        <v>67</v>
      </c>
      <c r="E57" s="106">
        <f t="shared" si="1"/>
        <v>47.3</v>
      </c>
      <c r="F57" t="s">
        <v>68</v>
      </c>
      <c r="G57" s="113" t="s">
        <v>72</v>
      </c>
      <c r="H57" s="115">
        <f t="shared" si="18"/>
        <v>1356</v>
      </c>
      <c r="I57" t="s">
        <v>69</v>
      </c>
    </row>
    <row r="58" spans="2:9" x14ac:dyDescent="0.35">
      <c r="B58" s="117">
        <f>+B57+100</f>
        <v>4400</v>
      </c>
      <c r="C58" s="117" t="s">
        <v>66</v>
      </c>
      <c r="D58" s="117" t="s">
        <v>67</v>
      </c>
      <c r="E58" s="118">
        <f t="shared" ref="E58" si="24">ROUNDUP(B58*$H$9/1000,1)</f>
        <v>48.4</v>
      </c>
      <c r="F58" s="117" t="s">
        <v>68</v>
      </c>
      <c r="G58" s="119" t="s">
        <v>72</v>
      </c>
      <c r="H58" s="120">
        <f t="shared" si="18"/>
        <v>1387.5</v>
      </c>
      <c r="I58" s="117" t="s">
        <v>69</v>
      </c>
    </row>
    <row r="59" spans="2:9" x14ac:dyDescent="0.35">
      <c r="B59">
        <f t="shared" si="2"/>
        <v>4500</v>
      </c>
      <c r="C59" t="s">
        <v>66</v>
      </c>
      <c r="D59" t="s">
        <v>67</v>
      </c>
      <c r="E59" s="106">
        <f t="shared" si="1"/>
        <v>49.5</v>
      </c>
      <c r="F59" t="s">
        <v>68</v>
      </c>
      <c r="G59" s="113" t="s">
        <v>72</v>
      </c>
      <c r="H59" s="115">
        <f t="shared" si="18"/>
        <v>1419</v>
      </c>
      <c r="I59" t="s">
        <v>69</v>
      </c>
    </row>
    <row r="60" spans="2:9" x14ac:dyDescent="0.35">
      <c r="B60" s="117">
        <f>+B59+100</f>
        <v>4600</v>
      </c>
      <c r="C60" s="117" t="s">
        <v>66</v>
      </c>
      <c r="D60" s="117" t="s">
        <v>67</v>
      </c>
      <c r="E60" s="118">
        <f t="shared" ref="E60" si="25">ROUNDUP(B60*$H$9/1000,1)</f>
        <v>50.6</v>
      </c>
      <c r="F60" s="117" t="s">
        <v>68</v>
      </c>
      <c r="G60" s="119" t="s">
        <v>72</v>
      </c>
      <c r="H60" s="120">
        <f t="shared" si="18"/>
        <v>1450.6</v>
      </c>
      <c r="I60" s="117" t="s">
        <v>69</v>
      </c>
    </row>
    <row r="61" spans="2:9" x14ac:dyDescent="0.35">
      <c r="B61">
        <f t="shared" si="2"/>
        <v>4700</v>
      </c>
      <c r="C61" t="s">
        <v>66</v>
      </c>
      <c r="D61" t="s">
        <v>67</v>
      </c>
      <c r="E61" s="106">
        <f t="shared" si="1"/>
        <v>51.7</v>
      </c>
      <c r="F61" t="s">
        <v>68</v>
      </c>
      <c r="G61" s="113" t="s">
        <v>72</v>
      </c>
      <c r="H61" s="115">
        <f t="shared" si="18"/>
        <v>1482.1</v>
      </c>
      <c r="I61" t="s">
        <v>69</v>
      </c>
    </row>
    <row r="62" spans="2:9" x14ac:dyDescent="0.35">
      <c r="B62" s="117">
        <f>+B61+100</f>
        <v>4800</v>
      </c>
      <c r="C62" s="117" t="s">
        <v>66</v>
      </c>
      <c r="D62" s="117" t="s">
        <v>67</v>
      </c>
      <c r="E62" s="118">
        <f t="shared" ref="E62" si="26">ROUNDUP(B62*$H$9/1000,1)</f>
        <v>52.8</v>
      </c>
      <c r="F62" s="117" t="s">
        <v>68</v>
      </c>
      <c r="G62" s="119" t="s">
        <v>72</v>
      </c>
      <c r="H62" s="120">
        <f t="shared" si="18"/>
        <v>1513.6</v>
      </c>
      <c r="I62" s="117" t="s">
        <v>69</v>
      </c>
    </row>
    <row r="63" spans="2:9" x14ac:dyDescent="0.35">
      <c r="B63">
        <f t="shared" si="2"/>
        <v>4900</v>
      </c>
      <c r="C63" t="s">
        <v>66</v>
      </c>
      <c r="D63" t="s">
        <v>67</v>
      </c>
      <c r="E63" s="106">
        <f t="shared" si="1"/>
        <v>53.9</v>
      </c>
      <c r="F63" t="s">
        <v>68</v>
      </c>
      <c r="G63" s="113" t="s">
        <v>72</v>
      </c>
      <c r="H63" s="115">
        <f t="shared" si="18"/>
        <v>1545.1999999999998</v>
      </c>
      <c r="I63" t="s">
        <v>69</v>
      </c>
    </row>
    <row r="64" spans="2:9" x14ac:dyDescent="0.35">
      <c r="B64" s="117">
        <f>+B63+100</f>
        <v>5000</v>
      </c>
      <c r="C64" s="117" t="s">
        <v>66</v>
      </c>
      <c r="D64" s="117" t="s">
        <v>67</v>
      </c>
      <c r="E64" s="118">
        <f t="shared" ref="E64" si="27">ROUNDUP(B64*$H$9/1000,1)</f>
        <v>55</v>
      </c>
      <c r="F64" s="117" t="s">
        <v>68</v>
      </c>
      <c r="G64" s="119" t="s">
        <v>72</v>
      </c>
      <c r="H64" s="120">
        <f t="shared" si="18"/>
        <v>1576.6999999999998</v>
      </c>
      <c r="I64" s="117" t="s">
        <v>69</v>
      </c>
    </row>
  </sheetData>
  <pageMargins left="0.23622047244094491" right="0.23622047244094491" top="0.35433070866141736" bottom="0" header="0" footer="0"/>
  <pageSetup paperSize="9" scale="8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Vejledende beregning</vt:lpstr>
      <vt:lpstr>VejlForbrug</vt:lpstr>
      <vt:lpstr>VejlForbrug!Print_Area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</dc:creator>
  <cp:lastModifiedBy>Eric Clarke</cp:lastModifiedBy>
  <cp:lastPrinted>2024-04-29T08:43:41Z</cp:lastPrinted>
  <dcterms:created xsi:type="dcterms:W3CDTF">2015-08-11T12:02:36Z</dcterms:created>
  <dcterms:modified xsi:type="dcterms:W3CDTF">2025-05-08T10:17:42Z</dcterms:modified>
</cp:coreProperties>
</file>